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3280" windowHeight="13200"/>
  </bookViews>
  <sheets>
    <sheet name=" 1.1 (1)" sheetId="1" r:id="rId1"/>
    <sheet name="1.1 (2)" sheetId="13" r:id="rId2"/>
    <sheet name="Fiches S R (1.1.2)" sheetId="5" r:id="rId3"/>
    <sheet name="Fiches Special output (1.1.3)" sheetId="6" r:id="rId4"/>
    <sheet name="Fiches Special result (1.1.3)" sheetId="7" r:id="rId5"/>
    <sheet name="Fiches Special output (1.1.4) " sheetId="8" r:id="rId6"/>
    <sheet name="Fiches Special output (1.1.4)" sheetId="9" r:id="rId7"/>
    <sheet name="Fiches Special output (1.1.4.)" sheetId="10" r:id="rId8"/>
    <sheet name="Fiches Special result (1.1.9)" sheetId="14" r:id="rId9"/>
    <sheet name="Fiches Special result (1.1.10)" sheetId="15" r:id="rId10"/>
  </sheets>
  <definedNames>
    <definedName name="_xlnm._FilterDatabase" localSheetId="0" hidden="1">' 1.1 (1)'!#REF!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7" i="1" l="1"/>
  <c r="C29" i="1" l="1"/>
  <c r="C22" i="13" l="1"/>
  <c r="C91" i="13" s="1"/>
  <c r="J115" i="13" l="1"/>
  <c r="C115" i="13"/>
  <c r="B115" i="13"/>
  <c r="A115" i="13"/>
  <c r="J114" i="13"/>
  <c r="C114" i="13"/>
  <c r="B114" i="13"/>
  <c r="A114" i="13"/>
  <c r="J109" i="13" l="1"/>
  <c r="J108" i="13"/>
  <c r="J107" i="13"/>
  <c r="J106" i="13"/>
  <c r="J105" i="13"/>
  <c r="J104" i="13"/>
  <c r="J103" i="13"/>
  <c r="J94" i="13"/>
  <c r="P88" i="13"/>
  <c r="A3" i="15" l="1"/>
  <c r="A4" i="15" s="1"/>
  <c r="A5" i="15" s="1"/>
  <c r="A6" i="15" s="1"/>
  <c r="A7" i="15" s="1"/>
  <c r="A8" i="15" s="1"/>
  <c r="A9" i="15" s="1"/>
  <c r="A10" i="15" s="1"/>
  <c r="A11" i="15" s="1"/>
  <c r="A12" i="15" s="1"/>
  <c r="A13" i="15" s="1"/>
  <c r="A14" i="15" s="1"/>
  <c r="A15" i="15" s="1"/>
  <c r="A16" i="15" s="1"/>
  <c r="A17" i="15" s="1"/>
  <c r="A18" i="15" s="1"/>
  <c r="A19" i="15" s="1"/>
  <c r="E46" i="13"/>
  <c r="A3" i="10"/>
  <c r="A4" i="10" s="1"/>
  <c r="A5" i="10" s="1"/>
  <c r="A6" i="10" s="1"/>
  <c r="A7" i="10" s="1"/>
  <c r="A8" i="10" s="1"/>
  <c r="A9" i="10" s="1"/>
  <c r="A10" i="10" s="1"/>
  <c r="A11" i="10" s="1"/>
  <c r="A12" i="10" s="1"/>
  <c r="A13" i="10" s="1"/>
  <c r="A14" i="10" s="1"/>
  <c r="A15" i="10" s="1"/>
  <c r="A16" i="10" s="1"/>
  <c r="A17" i="10" s="1"/>
  <c r="A18" i="10" s="1"/>
  <c r="A19" i="10" s="1"/>
  <c r="A3" i="9"/>
  <c r="A4" i="9" s="1"/>
  <c r="A5" i="9" s="1"/>
  <c r="A6" i="9" s="1"/>
  <c r="A7" i="9" s="1"/>
  <c r="A8" i="9" s="1"/>
  <c r="A9" i="9" s="1"/>
  <c r="A10" i="9" s="1"/>
  <c r="A11" i="9" s="1"/>
  <c r="A12" i="9" s="1"/>
  <c r="A13" i="9" s="1"/>
  <c r="A14" i="9" s="1"/>
  <c r="A15" i="9" s="1"/>
  <c r="A16" i="9" s="1"/>
  <c r="A17" i="9" s="1"/>
  <c r="A18" i="9" s="1"/>
  <c r="A19" i="9" s="1"/>
  <c r="A3" i="8"/>
  <c r="A4" i="8" s="1"/>
  <c r="A5" i="8" s="1"/>
  <c r="A6" i="8" s="1"/>
  <c r="A7" i="8" s="1"/>
  <c r="A8" i="8" s="1"/>
  <c r="A9" i="8" s="1"/>
  <c r="A10" i="8" s="1"/>
  <c r="A11" i="8" s="1"/>
  <c r="A12" i="8" s="1"/>
  <c r="A13" i="8" s="1"/>
  <c r="A14" i="8" s="1"/>
  <c r="A15" i="8" s="1"/>
  <c r="A16" i="8" s="1"/>
  <c r="A17" i="8" s="1"/>
  <c r="A18" i="8" s="1"/>
  <c r="A19" i="8" s="1"/>
  <c r="A3" i="7"/>
  <c r="A4" i="7" s="1"/>
  <c r="A5" i="7" s="1"/>
  <c r="A6" i="7" s="1"/>
  <c r="A7" i="7" s="1"/>
  <c r="A8" i="7" s="1"/>
  <c r="A9" i="7" s="1"/>
  <c r="A10" i="7" s="1"/>
  <c r="A11" i="7" s="1"/>
  <c r="A12" i="7" s="1"/>
  <c r="A13" i="7" s="1"/>
  <c r="A14" i="7" s="1"/>
  <c r="A15" i="7" s="1"/>
  <c r="A16" i="7" s="1"/>
  <c r="A17" i="7" s="1"/>
  <c r="A18" i="7" s="1"/>
  <c r="A19" i="7" s="1"/>
  <c r="A3" i="6"/>
  <c r="A4" i="6" s="1"/>
  <c r="A5" i="6" s="1"/>
  <c r="A6" i="6" s="1"/>
  <c r="A7" i="6" s="1"/>
  <c r="A8" i="6" s="1"/>
  <c r="A9" i="6" s="1"/>
  <c r="A10" i="6" s="1"/>
  <c r="A11" i="6" s="1"/>
  <c r="A12" i="6" s="1"/>
  <c r="A13" i="6" s="1"/>
  <c r="A14" i="6" s="1"/>
  <c r="A15" i="6" s="1"/>
  <c r="A16" i="6" s="1"/>
  <c r="A17" i="6" s="1"/>
  <c r="A18" i="6" s="1"/>
  <c r="A19" i="6" s="1"/>
  <c r="A3" i="5"/>
  <c r="A4" i="5" s="1"/>
  <c r="A5" i="5" s="1"/>
  <c r="A6" i="5" s="1"/>
  <c r="A7" i="5" s="1"/>
  <c r="A8" i="5" s="1"/>
  <c r="A9" i="5" s="1"/>
  <c r="A10" i="5" s="1"/>
  <c r="A11" i="5" s="1"/>
  <c r="A12" i="5" s="1"/>
  <c r="A13" i="5" s="1"/>
  <c r="A14" i="5" s="1"/>
  <c r="A15" i="5" s="1"/>
  <c r="A16" i="5" s="1"/>
  <c r="A17" i="5" s="1"/>
  <c r="A18" i="5" s="1"/>
  <c r="A19" i="5" s="1"/>
  <c r="I93" i="1" l="1"/>
  <c r="D93" i="1"/>
  <c r="C93" i="1"/>
  <c r="B93" i="1"/>
  <c r="A93" i="1"/>
  <c r="I92" i="1"/>
  <c r="D92" i="1"/>
  <c r="C92" i="1"/>
  <c r="B92" i="1"/>
  <c r="A92" i="1"/>
  <c r="I91" i="1"/>
  <c r="D91" i="1"/>
  <c r="C91" i="1"/>
  <c r="B91" i="1"/>
  <c r="A91" i="1"/>
  <c r="I90" i="1"/>
  <c r="D90" i="1"/>
  <c r="C90" i="1"/>
  <c r="B90" i="1"/>
  <c r="A90" i="1"/>
  <c r="I89" i="1"/>
  <c r="D89" i="1"/>
  <c r="C89" i="1"/>
  <c r="B89" i="1"/>
  <c r="A89" i="1"/>
  <c r="I88" i="1"/>
  <c r="D88" i="1"/>
  <c r="C88" i="1"/>
  <c r="B88" i="1"/>
  <c r="A88" i="1"/>
  <c r="I87" i="1"/>
  <c r="D87" i="1"/>
  <c r="C87" i="1"/>
  <c r="B87" i="1"/>
  <c r="A87" i="1"/>
  <c r="I86" i="1"/>
  <c r="D86" i="1"/>
  <c r="C86" i="1"/>
  <c r="B86" i="1"/>
  <c r="A86" i="1"/>
  <c r="I85" i="1"/>
  <c r="H85" i="1"/>
  <c r="C85" i="1"/>
  <c r="B85" i="1"/>
  <c r="A85" i="1"/>
  <c r="I84" i="1"/>
  <c r="H84" i="1"/>
  <c r="C84" i="1"/>
  <c r="B84" i="1"/>
  <c r="A84" i="1"/>
  <c r="I83" i="1"/>
  <c r="H83" i="1"/>
  <c r="C83" i="1"/>
  <c r="B83" i="1"/>
  <c r="A83" i="1"/>
  <c r="I82" i="1"/>
  <c r="H82" i="1"/>
  <c r="C82" i="1"/>
  <c r="B82" i="1"/>
  <c r="A82" i="1"/>
  <c r="I81" i="1"/>
  <c r="H81" i="1"/>
  <c r="C81" i="1"/>
  <c r="B81" i="1"/>
  <c r="A81" i="1"/>
  <c r="I80" i="1"/>
  <c r="H80" i="1"/>
  <c r="C80" i="1"/>
  <c r="B80" i="1"/>
  <c r="A80" i="1"/>
  <c r="I79" i="1"/>
  <c r="H79" i="1"/>
  <c r="C79" i="1"/>
  <c r="B79" i="1"/>
  <c r="A79" i="1"/>
  <c r="I78" i="1"/>
  <c r="H78" i="1"/>
  <c r="C78" i="1"/>
  <c r="B78" i="1"/>
  <c r="A78" i="1"/>
  <c r="I77" i="1"/>
  <c r="H77" i="1"/>
  <c r="C77" i="1"/>
  <c r="B77" i="1"/>
  <c r="A77" i="1"/>
  <c r="I76" i="1"/>
  <c r="H76" i="1"/>
  <c r="C76" i="1"/>
  <c r="B76" i="1"/>
  <c r="A76" i="1"/>
  <c r="I75" i="1"/>
  <c r="H75" i="1"/>
  <c r="C75" i="1"/>
  <c r="B75" i="1"/>
  <c r="A75" i="1"/>
  <c r="I74" i="1"/>
  <c r="H74" i="1"/>
  <c r="C74" i="1"/>
  <c r="B74" i="1"/>
  <c r="A74" i="1"/>
  <c r="I73" i="1"/>
  <c r="H73" i="1"/>
  <c r="C73" i="1"/>
  <c r="B73" i="1"/>
  <c r="A73" i="1"/>
  <c r="I72" i="1"/>
  <c r="H72" i="1"/>
  <c r="C72" i="1"/>
  <c r="B72" i="1"/>
  <c r="A72" i="1"/>
  <c r="I71" i="1"/>
  <c r="H71" i="1"/>
  <c r="C71" i="1"/>
  <c r="B71" i="1"/>
  <c r="A71" i="1"/>
  <c r="I70" i="1"/>
  <c r="H70" i="1"/>
  <c r="C70" i="1"/>
  <c r="B70" i="1"/>
  <c r="A70" i="1"/>
  <c r="E66" i="1"/>
  <c r="P65" i="1"/>
  <c r="O65" i="1"/>
  <c r="M65" i="1"/>
  <c r="C65" i="1"/>
  <c r="F60" i="1"/>
  <c r="B60" i="1" s="1"/>
  <c r="E55" i="1"/>
  <c r="F55" i="1" s="1"/>
  <c r="F52" i="1"/>
  <c r="G52" i="1" s="1"/>
  <c r="E49" i="1"/>
  <c r="F49" i="1" s="1"/>
  <c r="C44" i="1"/>
  <c r="F44" i="1" s="1"/>
  <c r="F39" i="1"/>
  <c r="B39" i="1" s="1"/>
  <c r="E34" i="1"/>
  <c r="F34" i="1" s="1"/>
  <c r="E29" i="1"/>
  <c r="F29" i="1" s="1"/>
  <c r="G29" i="1" s="1"/>
  <c r="F23" i="1"/>
  <c r="G23" i="1" s="1"/>
  <c r="F17" i="1"/>
  <c r="B17" i="1" s="1"/>
  <c r="E11" i="1"/>
  <c r="F11" i="1" s="1"/>
  <c r="E5" i="1"/>
  <c r="B52" i="1" l="1"/>
  <c r="H94" i="1"/>
  <c r="B23" i="1"/>
  <c r="F66" i="1"/>
  <c r="I94" i="1"/>
  <c r="J94" i="1" s="1"/>
  <c r="E65" i="1"/>
  <c r="D94" i="1"/>
  <c r="G44" i="1"/>
  <c r="B44" i="1"/>
  <c r="B49" i="1"/>
  <c r="G49" i="1"/>
  <c r="B29" i="1"/>
  <c r="B11" i="1"/>
  <c r="G11" i="1"/>
  <c r="G34" i="1"/>
  <c r="B34" i="1"/>
  <c r="G55" i="1"/>
  <c r="B55" i="1"/>
  <c r="G39" i="1"/>
  <c r="G60" i="1"/>
  <c r="F5" i="1"/>
  <c r="C66" i="1"/>
  <c r="G17" i="1"/>
  <c r="G66" i="1" l="1"/>
  <c r="F65" i="1"/>
  <c r="G5" i="1"/>
  <c r="G65" i="1" s="1"/>
  <c r="B5" i="1"/>
  <c r="J99" i="13"/>
  <c r="H99" i="13"/>
  <c r="J97" i="13"/>
  <c r="H97" i="13"/>
  <c r="C89" i="13"/>
  <c r="J95" i="13" l="1"/>
  <c r="H95" i="13"/>
  <c r="E84" i="13" l="1"/>
  <c r="J113" i="13" l="1"/>
  <c r="C113" i="13"/>
  <c r="B113" i="13"/>
  <c r="A113" i="13"/>
  <c r="J112" i="13"/>
  <c r="C112" i="13"/>
  <c r="B112" i="13"/>
  <c r="A112" i="13"/>
  <c r="J111" i="13"/>
  <c r="J110" i="13"/>
  <c r="K109" i="13"/>
  <c r="K108" i="13"/>
  <c r="K106" i="13"/>
  <c r="J102" i="13"/>
  <c r="K102" i="13" s="1"/>
  <c r="H102" i="13"/>
  <c r="I102" i="13" s="1"/>
  <c r="J101" i="13"/>
  <c r="K101" i="13" s="1"/>
  <c r="H101" i="13"/>
  <c r="I101" i="13" s="1"/>
  <c r="J100" i="13"/>
  <c r="K100" i="13" s="1"/>
  <c r="H100" i="13"/>
  <c r="I100" i="13" s="1"/>
  <c r="K99" i="13"/>
  <c r="I99" i="13"/>
  <c r="J98" i="13"/>
  <c r="K98" i="13" s="1"/>
  <c r="H98" i="13"/>
  <c r="I98" i="13" s="1"/>
  <c r="K97" i="13"/>
  <c r="I97" i="13"/>
  <c r="J96" i="13"/>
  <c r="K96" i="13" s="1"/>
  <c r="H96" i="13"/>
  <c r="I96" i="13" s="1"/>
  <c r="K95" i="13"/>
  <c r="I95" i="13"/>
  <c r="H94" i="13"/>
  <c r="O88" i="13"/>
  <c r="M88" i="13"/>
  <c r="C88" i="13"/>
  <c r="F84" i="13"/>
  <c r="B84" i="13" s="1"/>
  <c r="E79" i="13"/>
  <c r="F79" i="13" s="1"/>
  <c r="E74" i="13"/>
  <c r="F74" i="13" s="1"/>
  <c r="E70" i="13"/>
  <c r="F70" i="13" s="1"/>
  <c r="E66" i="13"/>
  <c r="F66" i="13" s="1"/>
  <c r="E62" i="13"/>
  <c r="F62" i="13" s="1"/>
  <c r="E58" i="13"/>
  <c r="F58" i="13" s="1"/>
  <c r="E55" i="13"/>
  <c r="E52" i="13"/>
  <c r="G52" i="13" s="1"/>
  <c r="F46" i="13"/>
  <c r="E42" i="13"/>
  <c r="G42" i="13" s="1"/>
  <c r="E38" i="13"/>
  <c r="G38" i="13" s="1"/>
  <c r="E34" i="13"/>
  <c r="F34" i="13" s="1"/>
  <c r="B34" i="13" s="1"/>
  <c r="E30" i="13"/>
  <c r="G30" i="13" s="1"/>
  <c r="E26" i="13"/>
  <c r="G26" i="13" s="1"/>
  <c r="E22" i="13"/>
  <c r="G22" i="13" s="1"/>
  <c r="E18" i="13"/>
  <c r="G18" i="13" s="1"/>
  <c r="E14" i="13"/>
  <c r="G14" i="13" s="1"/>
  <c r="E6" i="13"/>
  <c r="J116" i="13" l="1"/>
  <c r="O116" i="13" s="1"/>
  <c r="K94" i="13"/>
  <c r="B6" i="13"/>
  <c r="E89" i="13"/>
  <c r="G34" i="13"/>
  <c r="G46" i="13"/>
  <c r="B46" i="13" s="1"/>
  <c r="B79" i="13"/>
  <c r="G79" i="13"/>
  <c r="B66" i="13"/>
  <c r="G66" i="13"/>
  <c r="F6" i="13"/>
  <c r="H116" i="13"/>
  <c r="G6" i="13"/>
  <c r="F22" i="13"/>
  <c r="B22" i="13" s="1"/>
  <c r="B62" i="13"/>
  <c r="G62" i="13"/>
  <c r="B74" i="13"/>
  <c r="G74" i="13"/>
  <c r="B58" i="13"/>
  <c r="G58" i="13"/>
  <c r="B70" i="13"/>
  <c r="G70" i="13"/>
  <c r="E88" i="13"/>
  <c r="F42" i="13"/>
  <c r="B42" i="13" s="1"/>
  <c r="I94" i="13"/>
  <c r="I116" i="13" s="1"/>
  <c r="F14" i="13"/>
  <c r="B14" i="13" s="1"/>
  <c r="F26" i="13"/>
  <c r="B26" i="13" s="1"/>
  <c r="F38" i="13"/>
  <c r="B38" i="13" s="1"/>
  <c r="F52" i="13"/>
  <c r="B52" i="13" s="1"/>
  <c r="G84" i="13"/>
  <c r="F18" i="13"/>
  <c r="F30" i="13"/>
  <c r="B30" i="13" s="1"/>
  <c r="K107" i="13"/>
  <c r="F89" i="13" l="1"/>
  <c r="K116" i="13"/>
  <c r="F88" i="13"/>
  <c r="B18" i="13"/>
  <c r="A3" i="14" l="1"/>
  <c r="A4" i="14" s="1"/>
  <c r="A5" i="14" s="1"/>
  <c r="A6" i="14" s="1"/>
  <c r="A7" i="14" s="1"/>
  <c r="A8" i="14" s="1"/>
  <c r="A9" i="14" s="1"/>
  <c r="A10" i="14" s="1"/>
  <c r="A11" i="14" s="1"/>
  <c r="A12" i="14" s="1"/>
  <c r="A13" i="14" s="1"/>
  <c r="A14" i="14" s="1"/>
  <c r="A15" i="14" s="1"/>
  <c r="A16" i="14" s="1"/>
  <c r="A17" i="14" s="1"/>
  <c r="A18" i="14" s="1"/>
  <c r="A19" i="14" s="1"/>
</calcChain>
</file>

<file path=xl/sharedStrings.xml><?xml version="1.0" encoding="utf-8"?>
<sst xmlns="http://schemas.openxmlformats.org/spreadsheetml/2006/main" count="1532" uniqueCount="386">
  <si>
    <t>Ministry of education, science and sport</t>
  </si>
  <si>
    <t>Action</t>
  </si>
  <si>
    <t>Total allocation at action level (indicative)</t>
  </si>
  <si>
    <t>EU Amount (EUR)</t>
  </si>
  <si>
    <t>Intervention field</t>
  </si>
  <si>
    <t xml:space="preserve">allocation 2021- 2027 used for calculation of 2029 target 2021 – 2027 m. </t>
  </si>
  <si>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</si>
  <si>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</si>
  <si>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</si>
  <si>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</si>
  <si>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</si>
  <si>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</si>
  <si>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</si>
  <si>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</si>
  <si>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</si>
  <si>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</si>
  <si>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</si>
  <si>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</si>
  <si>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</si>
  <si>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</si>
  <si>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</si>
  <si>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</si>
  <si>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t>RCO06</t>
  </si>
  <si>
    <t>Researchers working in supported research facilities (paramą gavusiose mokslinių tyrimų įstaigose dirbantys mokslininkai)</t>
  </si>
  <si>
    <t>Capital Region</t>
  </si>
  <si>
    <t>ERDF</t>
  </si>
  <si>
    <t>annual FTEs</t>
  </si>
  <si>
    <t>n/a</t>
  </si>
  <si>
    <t>Supported projects</t>
  </si>
  <si>
    <t>RCO07</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</si>
  <si>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We divide value of the parameter into 012 and 029 intervention codes regarding allocated funds by ratio: 2:1, that is to say, 15 / 3 * 2 = 10.The projected value of the indicator for 2024 is not set because the achievement of the indicator is planned in the second half of the period.</t>
  </si>
  <si>
    <t>RCO08</t>
  </si>
  <si>
    <t>Nominal value of research and innovation equipment (nominalioji mokslinių tyrimų ir inovacijų įrangos vertė)</t>
  </si>
  <si>
    <t>Eur</t>
  </si>
  <si>
    <t>RCO10</t>
  </si>
  <si>
    <t>Enterprises cooperating with research institutions (su mokslo tiriamosiomis institucijomis bendradarbiaujančios įmonės)</t>
  </si>
  <si>
    <t>enterprises</t>
  </si>
  <si>
    <t>RCR06</t>
  </si>
  <si>
    <t>Patent applications submitted (pateiktos patentų paraiškos)</t>
  </si>
  <si>
    <t>RCR08</t>
  </si>
  <si>
    <t>Publications from supported projects (remiamų projektų leidiniai)</t>
  </si>
  <si>
    <t>publications</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</si>
  <si>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We divide value of the parameter into 012 and 029 intervention codes regarding allocated funds by ratio: 2:1, that is to say, 15 / 3 = 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</si>
  <si>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Mid-West Region</t>
  </si>
  <si>
    <t>ERPF</t>
  </si>
  <si>
    <t>Specific result</t>
  </si>
  <si>
    <t>R&amp;D activity product (MTEP veiklos produktas)</t>
  </si>
  <si>
    <t>number</t>
  </si>
  <si>
    <t>Patent applications submitted 
(pateiktos patentų paraiškos)</t>
  </si>
  <si>
    <t>1.1.3.  Enhancing the system of knowledge transfer and commercialisation (Žinių perdavimo ir komercinimo sistemos stiprinimas)</t>
  </si>
  <si>
    <t>Specific output</t>
  </si>
  <si>
    <t>Number of science and research institutions, which received investments (Investicijas gavusių mokslo ir studijų institucijų skaičius)</t>
  </si>
  <si>
    <t xml:space="preserve">Specific result </t>
  </si>
  <si>
    <t>The number of commissioned R&amp;D projects received by research and study institutions that were assigned investments (Investicijas gavusių mokslo ir studijų institucijų gautų MTEP užsakymų skaičius)</t>
  </si>
  <si>
    <r>
      <t xml:space="preserve">
</t>
    </r>
    <r>
      <rPr>
        <sz val="11"/>
        <rFont val="Calibri"/>
        <family val="2"/>
        <scheme val="minor"/>
      </rPr>
      <t>number</t>
    </r>
  </si>
  <si>
    <t>Implemented R&amp;D projects
 (Įgyvendinti MTEP projektai)</t>
  </si>
  <si>
    <t>Researchers from abroad have been attracted to Lithuanian research and study institutions 
(Į Lietuvos mokslo ir studijų institucijas pritraukti tyrėjai iš užsienio)</t>
  </si>
  <si>
    <t>Researchers who have gone abroad to improve their professional knowledge
(Į užsienį tobulinti profesinių žinių išvykę tyrėjai)</t>
  </si>
  <si>
    <t xml:space="preserve">Capital </t>
  </si>
  <si>
    <t>MWR</t>
  </si>
  <si>
    <t>Indicator code</t>
  </si>
  <si>
    <t>Indicator name</t>
  </si>
  <si>
    <t>Indicator M.U.</t>
  </si>
  <si>
    <t>Indicator baseline value</t>
  </si>
  <si>
    <t>Category of region</t>
  </si>
  <si>
    <t>Indicator baseline year</t>
  </si>
  <si>
    <t xml:space="preserve">Milestone 2024 </t>
  </si>
  <si>
    <t>Capital region</t>
  </si>
  <si>
    <t>Ministry of economy and innovation</t>
  </si>
  <si>
    <t xml:space="preserve">Action </t>
  </si>
  <si>
    <t xml:space="preserve">allocation 2021- 2027 used for calculation of 2029 target </t>
  </si>
  <si>
    <t>Methodology for calculating the values for the indicator eng.</t>
  </si>
  <si>
    <t>1.1.5. Promoting the development, accelerating and development of startups (Skatinti startuolių vystymą, akceleravimą ir plėtrą)</t>
  </si>
  <si>
    <t>RCO01</t>
  </si>
  <si>
    <t>Enterprises supported (of which: micro, small, medium, large) (Paramą gavusios įmonės (iš kurių: labai mažos, mažosios, vidutinės ir didelės)</t>
  </si>
  <si>
    <t>MA monitoring system</t>
  </si>
  <si>
    <t>RCO02</t>
  </si>
  <si>
    <t>Enterprises supported by grants (paramą dotacijomis gavusios įmonės)</t>
  </si>
  <si>
    <t>RCO03</t>
  </si>
  <si>
    <t>Enterprises supported by financial instruments (paramą finansinėmis priemonėmis gavusios įmonės)</t>
  </si>
  <si>
    <t>RCO04</t>
  </si>
  <si>
    <t>Enterprises with non-financial suppport (nefinansinę paramą gavusios įmonės)</t>
  </si>
  <si>
    <t>RCO05</t>
  </si>
  <si>
    <t>New enterprises supported (paramą gavusios naujos įmonės)</t>
  </si>
  <si>
    <t>RCO103</t>
  </si>
  <si>
    <t>High growth enterprises supported (paramą gavusios sparčiai augančios įmonės)</t>
  </si>
  <si>
    <t>RCR01</t>
  </si>
  <si>
    <t>Jobs created in supported entities (paramą gavusiuose subjektuose sukurtos darbo vietos)</t>
  </si>
  <si>
    <t xml:space="preserve">It is assumed that in one enterprise supported by grants on average 3,56 jobs will be created (in terms of 2014-2020 financed projects in Mid-West Region under the 1 priority measure "Inostartas") and in one enterprise supported by financial instruments on average 6,25 jobs will be created (in terms of 2014-2020 financed projects under the 1 priority measure "Technoinvestas"). Enterprises with non-financial support is not added into calculation of the indicator because non-financial support will be provided in the set of grants/ financial instruments and alone directly not result new jobs created.
The 2029 target for RCR03 is 435*3,56+31*6,25=1742. </t>
  </si>
  <si>
    <t>RCR02</t>
  </si>
  <si>
    <t>Private investments matching public support (of which: grants, financial instruments)(privačiosios investicijos, papildančios viešąją paramą (iš kurių: dotacijos, finansinės priemonės))</t>
  </si>
  <si>
    <t>euro</t>
  </si>
  <si>
    <t>1.1.6. Promoting innovation supply (Skatinti inovacijų pasiūlą)</t>
  </si>
  <si>
    <t>Private investments matching public support (of which: grants, financial instruments)(Privačiosios investicijos, papildančios viešąją paramą (iš kurių: dotacijos, finansinės priemonės)</t>
  </si>
  <si>
    <t>The 2029 target for RCR02 (private investment) is 43% private funding according to the  state aid rules (49.770.342,11*0,43=21.401.247,00 EUR).</t>
  </si>
  <si>
    <t>RCR102</t>
  </si>
  <si>
    <t>Research jobs created in supported entities (paramą gavusiuose subjektuose sukurtos mokslo tiriamojo darbo vietos)</t>
  </si>
  <si>
    <t xml:space="preserve">The 2029 target for RCR102 is based on the assumption that to create one research job in average costs 1.350.827,18 EUR  (in terms of 2014-2020 financed projects). 92 % of the total amount for the intervention field 007 will be allocated to the measures which created research jobs (according to the experience of 2014-2020 in Mid-West Region under the measures  "Intelektas. Bendri mokslo-verslo projektai" ir "Eksperimentas"). 
 Also the result is reduced 15 % because of implementation risk (according to the experience of 2014-2020 value of discontinued projects is 15% of the value of completed projects):  (49.770.342,11 EUR*0,92/1.350.827,18 EUR)*0,85=29 research jobs. </t>
  </si>
  <si>
    <t>Enterprises supported (of which: micro, small, medium, large)(Paramą gavusios įmonės (iš kurių: labai mažos, mažosios, vidutinės ir didelės)</t>
  </si>
  <si>
    <t>The 2029 target for RCR02 (private investment) is 50% private funding according to the Capital Region funding intensity level (EU-50%; national-50%): 
 40.418.418,00*0,50=20.209.209,00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</si>
  <si>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2014-2020 value of discontinued projects is 15% of the value of completed projects): 
(40.418.418,00 EUR/1.502.293,71)*0,85=23 research jobs. </t>
  </si>
  <si>
    <t>The 2029 target for RCR02 (private investment) is 48% private funding according to the state aid rules (136.389.878,85*0,48=65.467.141,85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</si>
  <si>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(136.389.878,85 EUR*0,92/1.350.827,18 EUR)*0,85=79 research jobs. </t>
  </si>
  <si>
    <t>The 2029 target for RCR02 (private investment) is 50% private funding according to the Capital Region funding intensity level (EU-50%; national-50%): 
 97.004.208,00 *0,50=48.502.104,00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</si>
  <si>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( 97.004.208,00  EUR/1.502.293,71)*0,85=55 research jobs. </t>
  </si>
  <si>
    <t>The 2029 target for RCR02 (private investment) is 50% private funding according to the state aid rules (28.369.096,00*0,5=14.184.548,00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</si>
  <si>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experience of 2014-2020 (measures mentioned above) 92 % of the total amount for the intervention field 008 will be allocated to the measures which created research jobs.
Also the result is reduced 15 % because of implementation risk (according to the experience of 2014-2020 value of discontinued projects is 15% of the value of completed projects):  (28.369.096,00  EUR*0,92/1.350.827,18 EUR)*0,85=16 research jobs. </t>
  </si>
  <si>
    <t>The 2029 target for RCR02 (private investment) is 50% private funding according to thes state aid rules intensity level (EU-50%; national-50%): 
 24.251.052,00 *0,50=12.125.526,00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</si>
  <si>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(24.251.052,00 EUR/1.502.293,71)*0,85=14 research jobs. </t>
  </si>
  <si>
    <t>The 2029 target for RCR02 (private investment) is 50% private funding according to the state aid rules ( 14.184.548,00 Eur*0,5= 7.092.274,00  EUR).</t>
  </si>
  <si>
    <t>RCR03</t>
  </si>
  <si>
    <t>Small and medium-sized enterprises (SMEs) introducing product or process innovation (produktų ar prbocesų inovacijas diegiančios mažosios ir vidutinės įmonės (MVĮ))</t>
  </si>
  <si>
    <t>The 2029 target for RCR03 is based on the assumption that all of the supported SMEs will introduce at least 1 product or process innovation: RCO1=RCO02=RCR03=482.</t>
  </si>
  <si>
    <r>
      <t>The 2029 target for RCR02 (private investment) is 43% private funding according to the  state aid rules (37.327.754,39*0,43=</t>
    </r>
    <r>
      <rPr>
        <strike/>
        <sz val="11"/>
        <rFont val="Calibri"/>
        <family val="2"/>
        <scheme val="minor"/>
      </rPr>
      <t xml:space="preserve"> </t>
    </r>
    <r>
      <rPr>
        <sz val="11"/>
        <rFont val="Calibri"/>
        <family val="2"/>
        <scheme val="minor"/>
      </rPr>
      <t>16.050.934,00 EUR).</t>
    </r>
  </si>
  <si>
    <t>Research jobs created in supported entities</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</si>
  <si>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projects):(37.327.754,39 EUR*0,92=34.341.534,03/1.350.827,18 EUR=25*0,85=21 research jobs. </t>
  </si>
  <si>
    <t>1.1.7  Enabling a sustainable transformation of the SME industry (Sudaryti sąlygas tvariai MVĮ pramonės transformacijai)</t>
  </si>
  <si>
    <t>RCR05</t>
  </si>
  <si>
    <t>SMEs innovating in-house (vidines inovacijas vykdančios MVĮ)</t>
  </si>
  <si>
    <t>1.1.8 Promoting the development of non-technological innovation (Skatinti netechnologinių inovacijų plėtrą)</t>
  </si>
  <si>
    <t>The 2029 target for RCR02 (private investment) is 15% private funding according to the Mid-West Region funding intensity level (EU-85%; national-15%): 17.647.058,82 Eur*0,15=2.647.058,82 Eur.</t>
  </si>
  <si>
    <t xml:space="preserve">The 2029 target for RCR03 is based on the assumption that 30% of the supported SMEs will introduce product or process innovation (in terms of 2014-2020 financed projects in Mid-West Region under the 3 priority measure "Dizainas LT", which comprises 30% of the total amount dedicated to the measures  "Procesas LT", "Dizainas LT", "E-verslas LT):  30%*486=146 enterprises. </t>
  </si>
  <si>
    <t>RCR04</t>
  </si>
  <si>
    <t>SMEs introducing marketing or organisational innovation (prekybos ar organizacines inovacijas diegiančios MVĮ)</t>
  </si>
  <si>
    <t xml:space="preserve">The 2029 target for RCR04 is based on the assumption that 70% of the supported SMEs will introduce marketing or organisational innovation (in terms of 2014-2020 financed projects in Mid-West Region under the 3 priority measures "Procesas LT", "E-verslas LT", which comprises 70% of the total amount dedicated to the measures  "Procesas LT", "Dizainas LT", "E-verslas LT): 70%*486=340 enterprises. </t>
  </si>
  <si>
    <t xml:space="preserve">The 2029 target for RCR05 equals the sum of the 2029 targets for RCR03 and RCR04: 146+340=486 enterprises. </t>
  </si>
  <si>
    <r>
      <t xml:space="preserve">
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( 1.976.470,59 EUR *0,9)*0,15=266.824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</si>
  <si>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</si>
  <si>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22%*20 enterprises=4 products. </t>
  </si>
  <si>
    <r>
      <t xml:space="preserve">
The 2029 target for RCR02 (private investment) is 50 % private funding according to the Capital Region funding intensity level (EU-50%; national-50 %).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(2.240.000,00 EUR *0,9)*0,5=</t>
    </r>
    <r>
      <rPr>
        <b/>
        <sz val="11"/>
        <rFont val="Calibri"/>
        <family val="2"/>
        <scheme val="minor"/>
      </rPr>
      <t>1.008.000,00</t>
    </r>
    <r>
      <rPr>
        <sz val="11"/>
        <rFont val="Calibri"/>
        <family val="2"/>
        <scheme val="minor"/>
      </rPr>
      <t xml:space="preserve"> EUR.</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</si>
  <si>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22%*14 enterprises=3 products. </t>
  </si>
  <si>
    <r>
      <t xml:space="preserve">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( 5.082.352,94  EUR*0,9)*0,15=686.118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</si>
  <si>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</si>
  <si>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22%*48 enterprsises=11 products. </t>
  </si>
  <si>
    <t>1.1.10 Promoting SME participation in international R &amp; D initiatives (Skatinti MVĮ dalyvavimą tarptautinėse MTEPI iniciatyvose)</t>
  </si>
  <si>
    <t>The 2029 target for RCR02 (private investment) is 50% private funding according to state aid rules (23.727.620,00*0,5=11.863.810,00 Eur).</t>
  </si>
  <si>
    <t xml:space="preserve">The 2029 target for RCR102 is based on the assumption that to create one research job in average costs 2.443.685,88 EUR  (in terms of 2014-2020 financed projects in Mid-West Region under the 1 priority measure "SmartFDI", "SmartInvest LT+" ).
 Also the result is reduced 15 % because of implementation risk (according to the experience of 2014-2020 value of discontinued projects is 15% of the value of completed projects):
51.923.076,92 EUR/ 2.443.685,88 EUR)*0,85=18 research jobs. </t>
  </si>
  <si>
    <t>Capital</t>
  </si>
  <si>
    <t>counting removed at the level of the specific objective</t>
  </si>
  <si>
    <t>According to the experience of 2014-2020, it is assumed that 60 % of the supported enterprises will be unique.</t>
  </si>
  <si>
    <t>Mid-West region</t>
  </si>
  <si>
    <t>According to the experience of 2014-2020, it is assumed that 65 % of the supported enterprises will be unique.</t>
  </si>
  <si>
    <t>According to the experience of 2014-2020, it is assumed that 85 % of the supported enterprises will be unique.</t>
  </si>
  <si>
    <t>x</t>
  </si>
  <si>
    <t>Private investments matching public support (of which: grants, financial instruments)(privačiosios investicijos, papildančios viešąją paramą (iš kurių: dotacijos, finansinės priemonės)</t>
  </si>
  <si>
    <t>X</t>
  </si>
  <si>
    <t>According to the experience of 2014-2020, it is assumed that 80 % of the supported enterprises will be unique.</t>
  </si>
  <si>
    <t xml:space="preserve"> According to the experience of 2014-2020, it is assumed that 80 % of the supported enterprises will be unique.</t>
  </si>
  <si>
    <t>Row ID</t>
  </si>
  <si>
    <t>Field</t>
  </si>
  <si>
    <t>Indicator metadata</t>
  </si>
  <si>
    <t>R.S.</t>
  </si>
  <si>
    <t>Measurement unit</t>
  </si>
  <si>
    <t>Number</t>
  </si>
  <si>
    <t>Type of indicator</t>
  </si>
  <si>
    <t>Result</t>
  </si>
  <si>
    <t>Not required</t>
  </si>
  <si>
    <t>Policy objective</t>
  </si>
  <si>
    <t>1: Smarter Europe</t>
  </si>
  <si>
    <t>Specific objective</t>
  </si>
  <si>
    <t>1.1: Enhancing research and innovation capacities and the uptake of advanced technologies</t>
  </si>
  <si>
    <t>Definition and concepts</t>
  </si>
  <si>
    <t>Product is a technology, material, unit, variety, animal line, process, system, services, method, piece of art or solution of cultural and community problems (a process, system, service, method, art object or solution to cultural and/or societal problems based on research and practical experience).
R&amp;D researches and experimental development (systematic artistic knowledge activity of community and culture, human, nature activity and usage of its results (source: Law on Education and Research of the Republic of Lithuania). If considering the type of implemented project, it is impossibile to achieve parameter of the result  "Patent applications submitted", by implementing the project one of these results should be achieved and their achievement is proved by registered certificates and other acts issued by competent and authorized institutions:
1. Plant variety evaluated in specialized European centers (submitted in Reports on Technical Examination of the DUS Testing);
2. registered breed of animals registered according to acknowledged order at international level;
3. new technology, which has installation key or is proved in production;
4. variety and microorganism trunk, registered outside Lithuania;
5. product and design brands;
6. digital resource generated during researches, database and open code software, suitable to use MTEP;
7. another product of MTEP activity (a process, system, service, method, art object or solution to cultural and/or societal problems based on research and practical experience).</t>
  </si>
  <si>
    <t>Data collection</t>
  </si>
  <si>
    <t>MA monitoring system (supported projects)</t>
  </si>
  <si>
    <t>Time measurement achieved</t>
  </si>
  <si>
    <t>Monitoring parameter is considered achieved when competent institution (depending on achievable specific type of result) by registering act and other document issued by competent and authorized institutions, which approve achieved result during implementation.</t>
  </si>
  <si>
    <t>Aggregation issues</t>
  </si>
  <si>
    <t>Number of activity products R&amp;D created during implementation of project activities concluded by research and education institutions that received investments. Double counting removed at the level of the specific objective. R&amp;D activity product is counted once regardless how many operations contribute to it in the same specific objective.</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</si>
  <si>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</si>
  <si>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</si>
  <si>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</si>
  <si>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</si>
  <si>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</si>
  <si>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</si>
  <si>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</si>
  <si>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Related to the indicators of the result RCO06 and RCO08.</t>
  </si>
  <si>
    <t>Examples</t>
  </si>
  <si>
    <t>No examples</t>
  </si>
  <si>
    <t>P.S.</t>
  </si>
  <si>
    <t>Number of science and research institutions, which received investments</t>
  </si>
  <si>
    <t>Output</t>
  </si>
  <si>
    <t>Research and education institution is considered as foreseen in the Law on Education and Research of the Republic of Lithuania.
Research and education institution that has received investments is a research and education institution that has received subsidies from European Regional Development Fund in the financial period of 2021–2027.</t>
  </si>
  <si>
    <t>Parameter is considered achieved, when project contract is signed with science and research institution.</t>
  </si>
  <si>
    <t>No issues</t>
  </si>
  <si>
    <t>Not required. Specific product indicator</t>
  </si>
  <si>
    <t>Related with the result indicator “The number of commissioned R&amp;D projects received by research and study institutions that were assigned investments“.</t>
  </si>
  <si>
    <t>Research and education institution is considered as foreseen in the Law on Education and Research of the Republic of Lithuania.
R&amp;D – researches and experimental development is understood as it is foreseen in the Law on Education and Research of the Republic of Lithuania.
R&amp;D order is an order received by education and research institution for R&amp;D service provision to achieve projected R&amp;D value.
R&amp;D result is understood as foreseen in the description of classification stages of Recommended research and experimental development approved by the Government of the Republic of Lithuania with the order of 6th of June, 2012 No. 650 “In relation to approval of description of stages classification of recommended researches and experimental development“.
Research and education institution that has received investments is a research and education institution that has received subsidies from European Regional Development Fund in the financial period of 2021–2027.</t>
  </si>
  <si>
    <t>During implementation of project activities.</t>
  </si>
  <si>
    <t>Not required. specific output indicator</t>
  </si>
  <si>
    <t>Related to the indicator of the result “Increase in number of R&amp;D orders of research and education institutions, which receved investments“.</t>
  </si>
  <si>
    <t xml:space="preserve">Implemented MTEP projects </t>
  </si>
  <si>
    <t>output</t>
  </si>
  <si>
    <t>Capital Region – 0, Mid-West Region – 0.</t>
  </si>
  <si>
    <t>R&amp;D research and experimental development.
Researches and experimental development is considered as foreseen in the Law on Education and Research of the Republic of Lithuania.
R&amp;D project is a research and a complex of activities related to its implementation.</t>
  </si>
  <si>
    <t>Parameter is considered achieved, when during implementation of project activities the final (conclusive) research report is approved.</t>
  </si>
  <si>
    <t>Calculated by cumulating MTEP projects implemented according to project activities (number of projects).</t>
  </si>
  <si>
    <t>Related with the indicator of the result RCR08 (Publications from supported projects).</t>
  </si>
  <si>
    <t>Persons</t>
  </si>
  <si>
    <t>Lithuanian institutions of education and research are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
Attracted researcher from abroad is a person, who lives abroad, studies PhD studies in the Lithuanian higher institution or a researcher living in a foreign country, who has started to work in the education and research institution in Lithuania (participating in PhD process or conducting common researches).</t>
  </si>
  <si>
    <t>Monitoring parameter is considered achieved, when during implementation of project activities a studies contract is approved (if a person is enrolled in PhD studies), employment contract or service, or authorship contract (when employment contract is not concluded), report on visit (in case of short-term visits).</t>
  </si>
  <si>
    <t>Calculating by cumulating researchers from abroad, who during implementation of project activities arrived in Lithuania to study in PhD and/or to work in education and research institution or arrived in Lithuania for a short-term visit (participate in PhD process or conduct common researches).
The same person, who arrived in Lithuania several times during the same project is counted only once.</t>
  </si>
  <si>
    <t>Researchers, who went abroad to improve professional knowledge</t>
  </si>
  <si>
    <t>Development of professional knowledge abroad includes participation of researchers in secondments and/or traineeships in research and study institutions or bodies of other countries, Lithuanian MTEP communication office in research centers, business companies, researchers workshops, programs of partners of researchers exchange, in addition participation in international conferences, international seminars or other international education events (for example, information events, consortium formation meetings and etc.).
MTEP researches and experimental development.
Researches and experimental development is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t>
  </si>
  <si>
    <t>Monitoring parameter is considered achieved, when during implementation of project activities the report of education trip is approved or approval of event organizers is presented for participation in the event (if the project activity was conducted at a distance)</t>
  </si>
  <si>
    <t>Calculated by cumulating researches, who during implementation of the project activities developed their professional knowledge abroad, including implementation of project activities at distance (number of people). 
The same person, who participated in several activities of the same project is counted only once.</t>
  </si>
  <si>
    <t>An innovative product introduced to the market by the participant of prie-commercial procurement 
(Ikiprekybinio pirkimo dalyvio pateiktas rinkai inovatyvusis produktas)</t>
  </si>
  <si>
    <t>Capital Region – 11 , Mid-West Region – 15.</t>
  </si>
  <si>
    <t xml:space="preserve">A participant of pre-commercial procurement participating in the third stage of pre-commercial procurement (creation of a pilot batch of an innovative product) shall place the innovative product on the market. The placing on the market of an innovative product is understood as the adaptation to the consumer's needs and preparation for sale of products based on a prototype and / or test batch developed during the pre-commercial procurement by the contracting authority, i.e. y. commercialization.
Participant of Pre-commercial Procurement  - as this term is defined in the Description of the Procedure for Execution of Pre-Commercial Procurement approved by the Government of the Republic of Lithuania in 2015 July 1 by resolution No. 709 “On Approval of the Description of the Procedure for Execution of Pre-Commercial Procurement”.
An innovative product is a new product, service, material, process that is not on the market or substantially improves an existing product, service, material, process in order to solve social and economic problems relevant to society.
</t>
  </si>
  <si>
    <t xml:space="preserve">The monitoring indicator is considered to be achieved when the participant of the pre-commercial procurement submits a contract and / or a copy of the pre-commercial participant's approved balance sheet or other documents confirming the placing on the market of the innovative product to the project promoter within 3 years after the end of the project activities.
</t>
  </si>
  <si>
    <t>Innovative products placed on the market by the pre-commercial procurement participant are summed up 3 years after the end of the project activities.</t>
  </si>
  <si>
    <t>Related to the indicator RCO02 "Enterprises supported by grants".</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</si>
  <si>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9 projects (EUREKA). 
It is assumed that at least six (2/3 of projects) projects (1.800.000 Eur) will aim to achieve the indicator – 6.</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</si>
  <si>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one (1/3 of projects) project (300.000 Eur) will aim to achieve the indicator – 1.</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</si>
  <si>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two (2/3 of projects) projects (600.000 Eur) will aim to achieve the indicator – 2.</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</si>
  <si>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
It is planned to implement 9 projects (EUREKA) and 1 project (Seal of Excellence).
It is assumed that at least three (1/3 of projects) lower value projects (3 patents;  900.000 Eur) and higher value project (1 patent; 4.000.000  Eur) will aim to achieve the indicator: 3 + 1 = 4.
The same 1 Seal of Excellence project will seek for parameters and RCR06, and RCR08.</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</si>
  <si>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22,1 percent of operational funds to achieve the indicator. 
It is planned to finance 50 business doctoral study places, the price of one of which is about 109.000 Eur: 50 * 109.000 Eur = 5.450.000 Eur. 50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</si>
  <si>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Value will be achieved by implementing the projects with a goal to achieve RCO10 (50) value, special product value “Implemented MTEP projects“ (50). In addition, the value will include 2 publications prepared by researchers from abroad attracted to implement MTEP activities (5). During research, one researcher will prepare 1 publication. The projected value of the indicator in Middle-West Region: 50 + 50 + 5 = 105.</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</si>
  <si>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16,4 percent of the operational funds to achieve the indicator. 
It is planned to finance 15 business doctoral study places, the price of one of which is about 109.000 Eur: 15 * 109.000 = 1.635.000 Eur. 15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</si>
  <si>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The researchers, who will aim to reach RCO10 (15) value, special product value “Implemented R&amp;D projects“ (35) will strive to achieve the projected value. In addition, the value will include publications prepared by 1 experienced researcher from abroad, attracted to implement R&amp;D activities. During research, one researcher will prepare 1 publication. The projected value of the indicator in Middle-West Region: 15 + 35 + 1 = 51.</t>
  </si>
  <si>
    <t xml:space="preserve">Policy objectives - 1. A more competitive and smarter Europe by promoting innovative and smart economic transformation and regional ICT connectivity </t>
  </si>
  <si>
    <t xml:space="preserve">The projected value of the indicator for 2029 has been calculated on the basis 2014–2020 period of 1 priority instrument “Promotion of centers of expertise and innovations, centers of technology transmission“ activities “Promotion of centers innovations, centers of technology transmission“ and “Deployment of entrepreneurship MSI“ experience of implementation. According to activity, “Promotion of activity of centers for technologies and innovation transmission“ 9 scientific and studies institutions were funded and according to the activity “Deployment of entrepreneurship MSI“ 3 more institutions were funded, in total 12 institutions received funding. On the basis of funding allocated to the activity, in the period of 2021–2027 it is planned to finance 16 institutions in both regions, since there will be an opportunity to participate in the competition not only for universities and institutes of scientific researches, but also for professional schools.
On the basis of funding allocated to the capital region, it is planned to finance not more than 6 scientific and study institutions (in 2014–2020, 7 institutions were financed),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19.889.219 / 2 invitations / 10 = 994.460,95 Eur.
In 2024 intermediate value of the parameter – 5 will be reached after the first of the planned invitations.
</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</si>
  <si>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20 projects are planned)  projects will be implemented in the Capital Region, one of which is worth about 1 million Eur. It is assumed that the research and study institution that has received the investment will receive about 7 R&amp;D projects, in total: 20 * 7 = 140.
</t>
  </si>
  <si>
    <t>1.1.9 Promoting innovation in the public sector (Skatinti inovacijas viešajame sektoriuje (ikiprekybinius pirkimus))</t>
  </si>
  <si>
    <t>1.1.11 Promoting the attraction of foreign direct investment (Skatinti tiesioginių užsienio investicijų (TUI) pritraukimą)</t>
  </si>
  <si>
    <t>The 2029 target for RCR02 (private investment) is 50 % private funding according to the Capital Region funding intensity level (EU-50%; national-50 %). Taking into acount that 10% of the total amount is allocated to the actions, which will not reach the indicators, the 2029 target for RCR02 is calculated as follows: (5.760.000,00EUR*0,9)*0,5=2.592.000,00  EUR</t>
  </si>
  <si>
    <r>
      <rPr>
        <b/>
        <sz val="11"/>
        <rFont val="Calibri"/>
        <family val="2"/>
        <scheme val="minor"/>
      </rPr>
      <t xml:space="preserve"> 025</t>
    </r>
    <r>
      <rPr>
        <sz val="11"/>
        <rFont val="Calibri"/>
        <family val="2"/>
        <scheme val="minor"/>
      </rPr>
      <t xml:space="preserve"> Incubation, support to spin offs and spin outs and start ups (Inkubacija, parama atžalinėms ir atskirtosioms įmonėms bei startuoliams)</t>
    </r>
  </si>
  <si>
    <r>
      <t xml:space="preserve">The 2029 target for RCR02 (private investment) is 15% private funding according to the Mid-West Region funding intensity level (EU-85%; national-15%). The total amount for the action is 58.823.529,41 EUR, of which 34 % is allocated to grants and non-financial support and 66 % is allocated to financial instruments (in case of the financial instruments multiplier 1,5 is apllied).  
Private investments of enterprises supported by grants support is: 58.823.529,41 EUR (total amount) * 0,34*0,85 (allocation to grants, see RCO02 calculation)* 0,15 (private funding)= 2.550.000 EUR.
Private investments of enterprises supported by  financial enterprises is: 58.823.529,41 EUR (total amount) *0,66 (allocation to financial instruments) * 1,5 (multiplier) * 0,15 (private funding)= 8.735.294,12 EUR. </t>
    </r>
    <r>
      <rPr>
        <strike/>
        <sz val="11"/>
        <rFont val="Calibri"/>
        <family val="2"/>
        <scheme val="minor"/>
      </rPr>
      <t xml:space="preserve"> </t>
    </r>
    <r>
      <rPr>
        <sz val="11"/>
        <rFont val="Calibri"/>
        <family val="2"/>
        <scheme val="minor"/>
      </rPr>
      <t xml:space="preserve">2.550.000+8.735.294,12= 11.285.294 EUR.
</t>
    </r>
    <r>
      <rPr>
        <i/>
        <sz val="11"/>
        <rFont val="Calibri"/>
        <family val="2"/>
        <scheme val="minor"/>
      </rPr>
      <t>Private investments of  enterprises with non-financial support is: 58.823.529,41 EUR (total amount) * 0,34*0,15 (allocation to non-financial support, see RCO04 calculation)* 0,15 (private funding)= 450.000 EUR. not  included in the calculation of the indicator.</t>
    </r>
  </si>
  <si>
    <r>
      <rPr>
        <b/>
        <sz val="11"/>
        <rFont val="Calibri"/>
        <family val="2"/>
        <scheme val="minor"/>
      </rPr>
      <t>009</t>
    </r>
    <r>
      <rPr>
        <sz val="11"/>
        <rFont val="Calibri"/>
        <family val="2"/>
        <scheme val="minor"/>
      </rPr>
      <t xml:space="preserve"> Research and innovation activities in micro enterprises including networking (industrial research, experimental development, feasibility studies) (Labai mažų įmonių mokslinių tyrimų ir inovacijų veikla, įskaitant tinklaveiką (pramoniniai tyrimai, eksperimentinė plėtra, galimybių studijos)</t>
    </r>
  </si>
  <si>
    <r>
      <rPr>
        <b/>
        <sz val="11"/>
        <rFont val="Calibri"/>
        <family val="2"/>
        <scheme val="minor"/>
      </rPr>
      <t>010</t>
    </r>
    <r>
      <rPr>
        <sz val="11"/>
        <rFont val="Calibri"/>
        <family val="2"/>
        <scheme val="minor"/>
      </rPr>
      <t xml:space="preserve"> Research and innovation activities in SMEs, including networking (MVĮ mokslinių tyrimų ir inovacijų veikla, įskaitant tinklaveiką)</t>
    </r>
  </si>
  <si>
    <r>
      <rPr>
        <b/>
        <sz val="11"/>
        <rFont val="Calibri"/>
        <family val="2"/>
        <scheme val="minor"/>
      </rPr>
      <t>011</t>
    </r>
    <r>
      <rPr>
        <sz val="11"/>
        <rFont val="Calibri"/>
        <family val="2"/>
        <scheme val="minor"/>
      </rPr>
      <t xml:space="preserve"> Research and innovation activities in large enterprises, including networking (Didelių įmonių mokslinių tyrimų ir inovacijų veikla, įskaitant tinklaveiką )</t>
    </r>
  </si>
  <si>
    <r>
      <rPr>
        <b/>
        <sz val="11"/>
        <rFont val="Calibri"/>
        <family val="2"/>
        <scheme val="minor"/>
      </rPr>
      <t xml:space="preserve"> 024</t>
    </r>
    <r>
      <rPr>
        <sz val="11"/>
        <rFont val="Calibri"/>
        <family val="2"/>
        <scheme val="minor"/>
      </rPr>
      <t xml:space="preserve"> Advanced support services for SMEs and groups of SMEs (including management, marketing and design services)(MVĮ ir MVĮ grupėms skirtos pažangios paramos paslaugos (įskaitant valdymo, rinkodaros ir projektavimo paslaugas)
</t>
    </r>
  </si>
  <si>
    <r>
      <rPr>
        <b/>
        <sz val="11"/>
        <rFont val="Calibri"/>
        <family val="2"/>
        <scheme val="minor"/>
      </rPr>
      <t xml:space="preserve"> 028</t>
    </r>
    <r>
      <rPr>
        <sz val="11"/>
        <rFont val="Calibri"/>
        <family val="2"/>
        <scheme val="minor"/>
      </rPr>
      <t xml:space="preserve"> Technology transfer and cooperation between enterprises, research centres and higher education sector (Technologijų perdavimas ir bendradarbiavimas tarp įmonių, mokslinių tyrimų centrų ir aukštojo mokslo sektoriaus)</t>
    </r>
  </si>
  <si>
    <r>
      <rPr>
        <b/>
        <sz val="11"/>
        <rFont val="Calibri"/>
        <family val="2"/>
        <scheme val="minor"/>
      </rPr>
      <t>030</t>
    </r>
    <r>
      <rPr>
        <sz val="11"/>
        <rFont val="Calibri"/>
        <family val="2"/>
        <scheme val="minor"/>
      </rPr>
      <t xml:space="preserve"> Research and innovation processes, technology transfer and cooperation between enterprises, focusing on circular economy (Įmonių vykdomi mokslinių tyrimų ir inovacijų diegimo procesai, technologijų perdavimas ir bendradarbiavimas, daugiausia dėmesio skiriant žiedinei ekonomikai)</t>
    </r>
  </si>
  <si>
    <r>
      <rPr>
        <b/>
        <sz val="11"/>
        <rFont val="Calibri"/>
        <family val="2"/>
        <scheme val="minor"/>
      </rPr>
      <t xml:space="preserve">028 </t>
    </r>
    <r>
      <rPr>
        <sz val="11"/>
        <rFont val="Calibri"/>
        <family val="2"/>
        <scheme val="minor"/>
      </rPr>
      <t>Technology transfer and cooperation between enterprises, research centres and higher education sector (Technologijų perdavimas ir bendradarbiavimas tarp įmonių, mokslinių tyrimų centrų ir aukštojo mokslo sektoriaus)</t>
    </r>
  </si>
  <si>
    <r>
      <t>009</t>
    </r>
    <r>
      <rPr>
        <sz val="11"/>
        <rFont val="Calibri"/>
        <family val="2"/>
        <scheme val="minor"/>
      </rPr>
      <t xml:space="preserve"> Research and innovation activities in micro enterprises including networking (industrial research, experimental development, feasibility studies)</t>
    </r>
  </si>
  <si>
    <r>
      <t xml:space="preserve">010 </t>
    </r>
    <r>
      <rPr>
        <sz val="11"/>
        <rFont val="Calibri"/>
        <family val="2"/>
        <scheme val="minor"/>
      </rPr>
      <t>Research and innovation activities in SMEs, including networking (MVĮ mokslinių tyrimų ir inovacijų veikla, įskaitant tinklaveiką)</t>
    </r>
  </si>
  <si>
    <r>
      <rPr>
        <b/>
        <sz val="11"/>
        <rFont val="Calibri"/>
        <family val="2"/>
        <scheme val="minor"/>
      </rPr>
      <t>026</t>
    </r>
    <r>
      <rPr>
        <sz val="11"/>
        <rFont val="Calibri"/>
        <family val="2"/>
        <scheme val="minor"/>
      </rPr>
      <t xml:space="preserve"> Support for innovation clusters including between businesses, research organisations and public authorities and business networks primarily benefiting SMEs (Parama inovacijų klasteriams, be kita ko, tarp įmonių, mokslinių tyrimų organizacijų ir valdžios institucijų bei verslo tinklų, kas visų pirma naudinga MVĮ)</t>
    </r>
  </si>
  <si>
    <r>
      <t>The 2029 target for RCR02 (private investment) is 50% private funding according to the Capital Region funding intensity level (EU-50%; national-50%): 20.000.000,00 EUR *0,5=10.000.000,00</t>
    </r>
    <r>
      <rPr>
        <b/>
        <sz val="11"/>
        <rFont val="Calibri"/>
        <family val="2"/>
        <scheme val="minor"/>
      </rPr>
      <t xml:space="preserve"> </t>
    </r>
    <r>
      <rPr>
        <sz val="11"/>
        <rFont val="Calibri"/>
        <family val="2"/>
        <scheme val="minor"/>
      </rPr>
      <t>EUR.</t>
    </r>
  </si>
  <si>
    <r>
      <t xml:space="preserve">The 2029 target for RCR02 (private investment) is  48% private funding  </t>
    </r>
    <r>
      <rPr>
        <strike/>
        <sz val="11"/>
        <rFont val="Calibri"/>
        <family val="2"/>
        <scheme val="minor"/>
      </rPr>
      <t xml:space="preserve"> </t>
    </r>
    <r>
      <rPr>
        <sz val="11"/>
        <rFont val="Calibri"/>
        <family val="2"/>
        <scheme val="minor"/>
      </rPr>
      <t>state aid rules:  51.923.076,92 EUR *0,48=24.923.077,00 EUR.</t>
    </r>
  </si>
  <si>
    <t>Projects data</t>
  </si>
  <si>
    <t>Projects data or enterprise surveys</t>
  </si>
  <si>
    <r>
      <rPr>
        <b/>
        <sz val="11"/>
        <rFont val="Calibri"/>
        <family val="2"/>
        <scheme val="minor"/>
      </rPr>
      <t>1.1.1. Encourage to carry out applied research</t>
    </r>
    <r>
      <rPr>
        <sz val="11"/>
        <rFont val="Calibri"/>
        <family val="2"/>
        <scheme val="minor"/>
      </rPr>
      <t xml:space="preserve"> (Skatinti vykdyti taikomuosius MTEP)</t>
    </r>
  </si>
  <si>
    <r>
      <rPr>
        <b/>
        <sz val="11"/>
        <rFont val="Calibri"/>
        <family val="2"/>
        <scheme val="minor"/>
      </rPr>
      <t>012</t>
    </r>
    <r>
      <rPr>
        <sz val="11"/>
        <rFont val="Calibri"/>
        <family val="2"/>
        <scheme val="minor"/>
      </rPr>
      <t xml:space="preserve"> 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</si>
  <si>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41.621.312 Eur * 332 / 76.463.763 Eur = 180,7 ~ 180.
The projected value of the indicator for 2024 will be 10 percent of the projected value for 2029: 180 * 10 percent = 18.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</si>
  <si>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centres of expertise and innovations, centres of technology transmition“ in the activity of “Promotion of activities of centres of expertise“ in the description of conditions to funded projects).
The projected value of the indicator in the Capital Region: 41.621.312 Eur * 20 percent  = 8.324.262,4 Eur ~ 8.324.260 Eur.
The projected value of the indicator for 2024 will be 10 percent of the projected values for 2029:  8.324.260 Eur * 10 percent = 832.426 Eur. Estimation is made on the basis of financing part paid at the end of the year four of the period 2014–2020. </t>
  </si>
  <si>
    <t xml:space="preserve">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48 projects with a value of about 500.000 Eur and 85 projects with a value of 207.309,55 Eur: 48 * 500.000 Eur + 85 * 207.309,55 Eur = 41.621.312 Eur.
It is assumed that the indicator will be reachee for by all 50 higher value projects and 20 percent lower value projects (one company per project): 48 + (85 * 20 percent) = 65 cooperating companies.
The projected value of the indicator for 2024 will be 10 percent of the projected value for 2029: 65 * 10 percent = 6,5 ~ 7. Estimation is made on the basis of financing part paid at the end of the year four of the period 2014–2020. </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</si>
  <si>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65.</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</si>
  <si>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and 9 priority instrument “Development of scientific competences of students, researchers and other investigators through practical scientific activity“ experience of implementation activity of “Development of researches‘ qualifications by executing high level experimental development projects (social, cultural) and international and national researches“.
It is planned to implement 48 projects with a value of about 500.000 Eur and 85 projects with a value of 207.309,55 Eur: 48 * 500.000 Eur + 85 * 207.309,55 Eur = 41.621.312 Eur.
It is assumed that each project will produce at least 3 publications: (48 + 85) * 3 = 399 ~ 400.
Experience of 2014–2020 period was taken into account: during MTEP project of 0.5 million Eur value at least 4-5 publications are prepared. Since it is also planned to implement smaller projects (0,2 million Eur value), it is supposed that an average number of publications during the implementation of the project will be 3.</t>
  </si>
  <si>
    <r>
      <t xml:space="preserve">029 </t>
    </r>
    <r>
      <rPr>
        <sz val="11"/>
        <rFont val="Calibri"/>
        <family val="2"/>
        <scheme val="minor"/>
      </rPr>
      <t>Research and innovation processes, technology transfer and cooperation between enterprises, research centres and universities, focusing on the low carbon economy, resilience and adaptation to climate change</t>
    </r>
    <r>
      <rPr>
        <b/>
        <sz val="11"/>
        <rFont val="Calibri"/>
        <family val="2"/>
        <scheme val="minor"/>
      </rPr>
      <t xml:space="preserve">
(</t>
    </r>
    <r>
      <rPr>
        <sz val="11"/>
        <rFont val="Calibri"/>
        <family val="2"/>
        <scheme val="minor"/>
      </rPr>
      <t xml:space="preserve">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</si>
  <si>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24.096.550 Eur * 332 / 76.463.763 Eur = 104,6 ~ 105.
The projected value of the indicator for 2024 will be 10 percent of the projected value for 2029: 105 * 10 percent = 10,5 ~ 11.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</si>
  <si>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24.096.550 Eur * 20 percent  = 4.819.310 Eur.
The projected value of the indicator for 2024 will be 10 percent of the projected values for 2029:  4.819.310 Eur * 10 percent = 481.931 Eur. Estimation is made on the basis of financing part paid at the end of the year four of the period 2014–2020. </t>
  </si>
  <si>
    <t xml:space="preserve">The projected value of the indicator for 2029 has been calculated on the basis 2014–2020 period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27 projects with a value of about 500.000 Eur and 50 projects with a value of 211.931 Eur:  27 * 500.000 Eur + 50 * 211.931 Eur = 24.096.550 Eur.
It is assumed that the indicator will be reachee for by all 25 higher value projects and 20 percent lower value projects (one company per project): 27 + (50 * 20 percent) = 37 ~ 40 cooperating companies.
The projected value of the indicator for 2024 will be 10 percent of the projected value for 2029: 40 * 10 percent = 4. Estimation is made on the basis of financing part paid at the end of the year four of the period 2014–2020. </t>
  </si>
  <si>
    <t>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40.</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</si>
  <si>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activity experience in implementation of „Development of researches‘ qualifications by executing high level experimental development projects (social, cultural) and international and national researches“.
It is planned to implement 27 projects with a value of about 500.000 Eur and 50 projects with a value of 211.931 Eur:  27 * 500.000 Eur + 50 * 211.931 Eur = 24.096.550 Eur.
It is assumed that each project will produce at least 3 publications: (27 + 50) * 3 = 231 ~ 235.
Experience of 2014–2020 period was considered: during MTEP project of 0.5 million Eur value at least 4-5 publications are prepared. Since it is also planned to implement smaller projects (0,2-million-Eur value), it is supposed that an average number of publications during the implementation of the project will be 3.</t>
  </si>
  <si>
    <t>Mid-West Lithuania Region</t>
  </si>
  <si>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16.806.105 Eur * 578 / 33.469.066 Eur = 290,2 ~ 290.
The projected value of the indicator for 2024 will be 10 percent of the projected value for 2029: 290 * 10 percent = 29.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</si>
  <si>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3.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</si>
  <si>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16.806.105 Eur * 20 percent = 3.361.221 Eur ~ 3.361.220 Eur.
The projected value of the indicator for 2024 will be 10 percent of the projected value for 2029: 3.361.220 Eur * 10 percent = 336.122 Eur. Estimation is made on the basis of financing part paid at the end of the year four of the period 2014–2020. </t>
  </si>
  <si>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19 projects will be implemented, the value of each of which is about 500.000 Eur and 35 projects with a value of  208.745,85 Eur: 19 * 500.000 Eur + 35 * 208.745,85 Eur ~ 16.806.105 Eur.
It is assumed that the indicator will be achieved by all 32 higher value projects and 20 percent lower value projects (one company per project): 19 + (35 * 20) percent = 26 ~ 30.
The projected value of the indicator for 2024 will be 10 percent of the projected value for 2029: 30 * 10 percent = 3.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</si>
  <si>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in Mid-West Lithuania Region – 30.</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</si>
  <si>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 activity of experience in implementation of “Development of researches‘ qualifications by executing high level experimental development projects (social, cultural) and international and national researches“.
It is planned that 19 projects will be implemented, the value of one of which is about 500.000 Eur and 35 projects, the value of each of which is 208.745,85 Eur: 19 * 500.000 Eur + 35 * 208.745,85 Eur ~ 16.806.105 Eur.
It is assumed that each project will produce at least 3 publications. The projected value of the indicator: (19 + 35) * 3 = 162 ~ 165.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</si>
  <si>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sz val="11"/>
        <rFont val="Calibri"/>
        <family val="2"/>
        <scheme val="minor"/>
      </rPr>
      <t>0</t>
    </r>
    <r>
      <rPr>
        <b/>
        <sz val="11"/>
        <rFont val="Calibri"/>
        <family val="2"/>
        <scheme val="minor"/>
      </rPr>
      <t xml:space="preserve">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</si>
  <si>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9.729.851 Eur * 578 / 33.469.066 Eur = 168 ~ 170.
The projected value of the indicator for 2024 will be 10 percent of the projected value for 2029: 170 * 10 percent = 17.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</si>
  <si>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2.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</si>
  <si>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Mid-West Lithuania Region: 9.729.851 Eur * 20 percent = 1.945.970,2 Eur ~ 1.945.970 Eur.
The projected value of the indicator for 2024 will be 10 percent of the projected value for 2029: 1.945.970 Eur * 10 percent = 194.597 Eur. Estimation is made on the basis of financing part paid at the end of the year four of the period 2014–2020. </t>
  </si>
  <si>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11 projects will be implemented, the value of each of which is about 500.000 Eur and 20 projects with a value of  211.492,55 Eur: 11 * 500.000 Eur + 20 * 211.492,55 Eur ~ 9.729.851 Eur.
It is assumed that the indicator will be achieved by all 16 higher value projects and 20 percent lower value projects (one company per project): 11 + (20 * 20) percent = 15.
The projected value of the indicator for 2024 will be 10 percent of the projected value for 2029: 15 * 10 percent = 1,5 ~ 2.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</si>
  <si>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in Mid-West Lithuania Region – 15.</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</si>
  <si>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instruments , “Development of scientific competences of students, researchers and other investigators through practical scientific activity“, activity of experience of implementation „Development of researches‘ qualifications by executing high level experimental development projects (social, cultural) and international and national researches“.
It is planned that 11 projects will be implemented, the value of one of which is about 500.000 Eur and 20 projects, the value of each of which is 211.492,55 Eur: 11 * 500.000 Eur + 20 * 211.492,55 Eur ~ 9.729.851 Eur.
It is assumed that each project will produce at least 3 publications. The projected value of the indicator: (11 + 20) * 3 = 93 ~ 95.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</si>
  <si>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b/>
        <sz val="11"/>
        <rFont val="Calibri"/>
        <family val="2"/>
        <scheme val="minor"/>
      </rPr>
      <t>1.1.2. Increase the level of internationalisation of research</t>
    </r>
    <r>
      <rPr>
        <sz val="11"/>
        <rFont val="Calibri"/>
        <family val="2"/>
        <scheme val="minor"/>
      </rPr>
      <t xml:space="preserve"> (Didinti mokslo tarptautiškumo lygį)</t>
    </r>
  </si>
  <si>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</si>
  <si>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45.129.459 Eur * 332 / 76.463.763 Eur = 195,9 ~ 195.
The projected value of the Indicator for 2024 will be 10 percent of the projected value for 2029: 195 * 10 percent = 19,5 ~ 20.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</si>
  <si>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 45.129.459 Eur * 20 percent = 9.025.891,8 Eur ~ 9.025.890 Eur.
The projected value of the indicator for 2024 will be 10 percent of the projected value for 2029: 9.025.890  * 10 percent = 902.589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</si>
  <si>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t>
    </r>
    <r>
      <rPr>
        <strike/>
        <sz val="11"/>
        <rFont val="Calibri"/>
        <family val="2"/>
        <scheme val="minor"/>
      </rPr>
      <t xml:space="preserve">
</t>
    </r>
    <r>
      <rPr>
        <sz val="11"/>
        <rFont val="Calibri"/>
        <family val="2"/>
        <scheme val="minor"/>
      </rPr>
      <t xml:space="preserve">It is planned to implement 33 projects (EUREKA) and 3 projects (Seal of Excellence).
It is assumed that at least eleven (1/3 of EUREKA projects) lower value projects (11 patents;  3.300.000 Eur) and higher value projects (3 patents; 12.000.000  Eur) will aim to achieve the indicator: 11 + 3 =  14 ~ 15.
The same 3 Seal of Excellence projects will seek for parameters and RCR06, and RCR08.
</t>
    </r>
    <r>
      <rPr>
        <i/>
        <sz val="11"/>
        <rFont val="Calibri"/>
        <family val="2"/>
        <scheme val="minor"/>
      </rPr>
      <t>Also it is planned to allocate the amount of 6.229.459 Eurfor „Lithuanian Research Development and Innovation Liaison Office in Brussels (LINO)“ project.</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</si>
  <si>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 xml:space="preserve">It is planned to implement 33 projects (EUREKA). 
It is assumed that at least twenty-two (2/3 of EUREKA projects) projects will aim to achieve the indicator – 22 (6.600.000 Eur) .
</t>
    </r>
  </si>
  <si>
    <t>The projected value of the indicator for 2029 has been calculated according to EC recommendations to promote implementation of international projects.
It is planned to implement 60 projects (EU partnerships) with a value of about 200.000 Eur, 3 projects (Seal of Excellence) worth about 4.000.000 Eur and 5 projects for integration into Eurpean infrastructures, the value of which is about 0,5 to 2,5 mln. (average 1 mln.) Eur: 60 * 200.000 Eur + 3 * 4.000.000 Eur + 5* 1.000.000 Eur = 29.000.000 Eur. It is assumed that these projects will achieve the indicator and that each project will produce at least 3 publications. The planned target value of the indicator in the Capital Region: (60 + 3 + 5) * 3 = 204 ~ 205.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2 Seal of Excellence projects will seek for parameters and RCR06, and RCR08.</t>
  </si>
  <si>
    <r>
      <rPr>
        <b/>
        <sz val="11"/>
        <rFont val="Calibri"/>
        <family val="2"/>
        <scheme val="minor"/>
      </rPr>
      <t xml:space="preserve">029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</si>
  <si>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7.294.220 Eur * 332 / 76.463.763 Eur = 31,7 ~ 30.
The projected value of the Indicator for 2024 will be 10 percent of the projected value for 2029: 30 * 10 percent = 3.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</si>
  <si>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7.294.220 Eur * 20 percent = 1.458.844 Eur ~ 1.458.840 Eur.
The projected value of the indicator for 2024 will be 10 percent of the projected value for 2029: 1.458.840 Eur * 10 percent = 145.884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</si>
  <si>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three (1/3 of EUREKA projects) project will aim to achieve the indicator – 3 (900.000 Eur).</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</si>
  <si>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six (2/3 of EUREKA projects) projects will aim to achieve the indicator – 6 (1.800.000 Eur).</t>
    </r>
  </si>
  <si>
    <t>The projected value of the indicator for 2029 has been calculated according to EC recommendations to promote implementation of international projects.
It is planned to implement 22 projects (EU partnerships) with a value of about 208.828,18 Eur: 22 * 208.828,18 Eur = 4.594.219,96 Eur. It is assumed that these projects will achieve the indicator and that each project will produce at least 3 publications. The planned target value of the indicator in the Capital Region: 22 * 3 = 66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</si>
  <si>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14.320.102 Eur * 578 / 33.469.066 Eur = 247,3 ~ 250.
The projected value of the indicator for 2024 will be 10 percent of the projected value for 2029: 250 * 10 percent = 25.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</si>
  <si>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14.320.102 Eur * 20 percent = 2.864.020,4 Eur ~ 2.864.020 Eur.
The projected value of the indicator for 2024 will be 10 percent of the projected value for  2029: 2.864.020 Eur * 10 percent = 286.402 Eur. Estimation is made on the basis of financing part paid at the end of the year four of the period 2014–2020. </t>
  </si>
  <si>
    <t>The projected value of the indicator for 2029 is calculated on the basis 2014–2020 period 1 priority instrument “Development of scientific researches, experiments and infrastructure and integration into Eurpean infrastructures“ implementation experience activity “Involvement into infrastructure of international researches (ESFRI) and openly accessible MTEP infrastructure, which is necessary to participate in international or regional initiatives of scientific researches, modernization, creation and development“ and on the basis of EC recommendations to fund projects, which possess Seal of Excellence quality brand and to promote execution of international projects.
It is planned to implement 18 projects (EU partnership), one of which is worth about 200.000 Eur, 1 project (Seal of Excellence) worth about 4.000.000 Eur and 4 projects for integration into Eurpean infrastructures, the value of which is about 0,5 to 2,5 mln. (average 1.005.025,5) Eur: 18 * 200.000 Eur + 1 * 4.000.000 Eur + 4 * 1.005.025,5 Eur = 11.620.102 Eur. It is assumed that these projects will achieve the indicator and each project will produce at least 3 publications: (18 + 1 + 4) * 3 = 69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1 Seal of Excellence project will seek for parameters and RCR06, and RCR08.</t>
  </si>
  <si>
    <r>
      <rPr>
        <b/>
        <sz val="11"/>
        <rFont val="Calibri"/>
        <family val="2"/>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</si>
  <si>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2.945.305 Eur * 578 / 33.469.066 Eur = 50,9 ~ 50.
The projected value of the indicator for 2024 will be 10 percent of the projected value for 2029: 50 * 10 percent = 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</si>
  <si>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2.945.305 Eur * 20 percent = 589.061 Eur ~ 589.060 Eur.
The projected value of the indicator for 2024 will be 10 percent of the projected value for  2029: 589.060 Eur * 10 percent = 58.906 Eur. Estimation is made on the basis of financing part paid at the end of the year four of the period 2014–2020. </t>
  </si>
  <si>
    <t>The projected value of the indicator for 2029 is calculated according to EC recommendations to promote implementation of international projects.
It is planned to implement 10 projects (EU partnership), one of which is worth about 204.530,5 Eur: 10 * 204.530,5 Eur = 2.045.305 Eur. It is assumed that these projects will achieve the indicator and each project will produce at least 3 publications: 10 * 3 = 30.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</si>
  <si>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t>
    </r>
  </si>
  <si>
    <t xml:space="preserve">The projected value of the indicator for 2029 is calculated on the basis of the experience gained over the period of 2014–2020 period  1 priority instrument “Promotion of centers of expertise and innovations, centers of technology transmission“ activity „Deployment of entrepreneurship MSI“ implementation experience.
It is planned that 12 (it is planned that the same 6 institutions will have an opportunity to participate in two competitions, therefore, 12 projects are planned). 
The projected value of the indicator in the Capital Region: 19.889.219 Eur * 20 percent = 3.977.843,8 Eur ~ 3.977.840 Eur.
The projected value of the indicator for 2024 will be 10 percent of the projected value for 2029: 3.977.840 Eur * 10 percent = 397.784 Eur.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</si>
  <si>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planned target value of the indicator in Mid-West Lithuania Region: 11.933.531 Eur * 20 percent = 2.386.706,2 Eur ~ 2.386.710 Eur.
The projected value of the indicator for 2024 will be 10 percent of the projected value for 2029: 2.386.710 * 10 percent = 238.671 Eur. Estimation is made on the basis of financing part paid at the end of the year four of the period 2014–2020. </t>
  </si>
  <si>
    <t>2014–2020 period 1 priority instrument “Promotion of centers of expertise and innovations, centers of technology transmission“ activities “Promotion of activities of innovation and technologies transmission centers“ and “Deployment of entrepreneurship MSI“ implementation experience. According to activity “Promotion of activity of centers for technologies and innovation transmission“ 9 scientific and study institutions were financed, according to the activity “Deployment of entrepreneurship MSI“ –  3 more institutions were financed, in total 12 institutions were financed. According to allocated funds to the activities, in 2021–2027 period it is planned to finance 16 institutions in both regions, since there will be an opportunity to participate in the competition not only for universities and institutes of scientific researches, but also for professional schools.
On the basis of funds allocated to activities in Mid-West Lithuania Region, it is planned to finance not more than 6 studies and scientific institutions (in the period of 2014–2020 3 institutions were financed, it is planned to give an opportunity for professional schools to participate in the project),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11.933.531 Eur / 2 invitations / 6 = 994.460,92 Eur.
In 2024 intermediate value of the parameter – 3 will be reached after the first of the planned invitations.</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</si>
  <si>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12 projects are planned) projects will be implemented in the Mid-West Lithuania Region, the value of one of which is about 1 million Eur. It is assumed that the research and study institution that has received the investment will receive about 7 R&amp;D projects, in total: 12 * 7 = 84 ~ 85.
</t>
  </si>
  <si>
    <t>The projected value of the indicator for 2029 has been calculated on the basis 2014–2020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34,3 percent of funds foreseen for activities.
50 placements after PhD studies are planned, for one placement up to 168.900 Eur will be allocated: 50 * 168.900 Eur = 8.445.000 Eur.
168.900 Eur tariff is calculated after having analyzed thematically eligible projects and after having evaluated inflation of 10 years ~ 20 percent and after having foreseen 10 percent of funds to finance indirect costs of the projects (to administrate visits). 
One trainee will implement one MTEP project.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</si>
  <si>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25 percent of funds foreseen for activities.
It is planned to finance:
– visits of 120 experienced researchers from abroad with an objective to participate in PhD process organized by Lithuanian institutions of research and education: 120 * 1.500 Eur = 180.000 Eur;
– 120 visits of experienced researchers to Lithuanian research and education institutions to develop their qualification: 120 * 6.200 Eur = 744.000 Eur;
– to attract 5 experienced researchers from abroad to implement R&amp;D activities – 5.239.414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capital region: 120 + 120 + 5 = 245.
The projected value of the indicator for 2024 will amount to 15 percent 2029 of projected value: 245 * 15 percent = 36,75 ~ 37. Estimation is made on the basis of financing part paid at the end of the year four of the period 2014–2020. </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</si>
  <si>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18,6 percent of funds foreseen for activities.
It is planned to finance:
– 700 visits of research to develop their qualification in research events abroad: 700 * 3.500 Eur = 2.450.000 Eur;
– 400 educational traineeships abroad: 400 * 5.300 = 2.120.000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Capital region: (700 + 400) / 4  = 275.
The projected value of the indicator for 2024 will amount to 15 percent 2029 of projected value: 275 * 15 percent = 41,25 ~ 41. Estimation is made on the basis of financing part paid at the end of the year four of the period 2014–2020. </t>
  </si>
  <si>
    <t>The projected value of the indicator for 2029 has been calculated on the basis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59,4 percent of funds foreseen for activities.
35 placements after PhD studies are planned, for one placement up to 168.900 Eur will be allocated: 35 * 168.900 Eur = 5.911.500 Eur. One trainee will implement one MTEP project.
168.900 Eur tariff is calculated after having analyzed thematically eligible projects and after having evaluated inflation of 10 years ~ 20 percent and after having foreseen 10 percent of funds to finance indirect costs of the projects (to administrate visits).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</si>
  <si>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11,8 percent of funds foreseen for activities.
It is planned to finance:
– 20 visits of experienced researchers from abroad with a goal to participate in PhD process in Lithuanian education and research institutions: 20 * 1.500 Eur = 30.000 Eur;
– 20 visits of experienced researchers from abroad to Lithuanian education and research institutions to develop their qualification: 20 * 6.200 = 124.000 Eur;
– to attract 1 experienced researchers from abroad to implement R&amp;D activities – 1.014.108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Mid-West Lithuania Region: 20 + 20 + 1 = 41.
The projected value of the indicator for 2024 will amount to 15 percent 2029 of projected value: 41 * 15 percent = 6,15 ~ 6. Estimation is made on the basis of financing part paid at the end of the year four of the period 2014–2020. </t>
  </si>
  <si>
    <t xml:space="preserve">The projected value of the indicator for 2029 has been calculated on the basis on the experience of implementation of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12,4 percent of funds foreseen for activities.
It is planned to finance:
– 200 visits of researchers to develop their qualification in educational events abroad: 200 * 3.500 Eur = 700.000 Eur;
– 100 research placements abroad: 100 * 5.300 = 530.000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Mid-West Lithuania Region: (200 + 100) / 4 = 75.
The projected value of the indicator for 2024 will amount to 15 percent of projected value in 2029: 75 * 15 percent = 11,25 ~ 11. Estimation is made on the basis of financing part paid at the end of the year four of the period 2014–2020. </t>
  </si>
  <si>
    <t xml:space="preserve">R&amp;D activity product </t>
  </si>
  <si>
    <t>Capital Region – 28, Mid-West Region – 8.</t>
  </si>
  <si>
    <t>Capital Region – 5, Mid-West Region – 3.</t>
  </si>
  <si>
    <t>Capital Region – 10, Mid-West Region – 6.</t>
  </si>
  <si>
    <t>Capital Region – 140, Mid-West Region – 85.</t>
  </si>
  <si>
    <t>Capital Region – 50, Mid-West Region – 35.</t>
  </si>
  <si>
    <t>Researchers from abroad have been attracted to Lithuanian research and study institutions (Į Lietuvos mokslo ir studijų institucijas pritraukti tyrėjai iš užsienio)</t>
  </si>
  <si>
    <t>Capital Region – 37, Mid-West Region – 6.</t>
  </si>
  <si>
    <t>Capital Region – 245, Mid-West Region – 41.</t>
  </si>
  <si>
    <t>Capital Region – 41, Mid-West Region – 11.</t>
  </si>
  <si>
    <t>Capital Region – 275, Mid-West Region – 75.</t>
  </si>
  <si>
    <t>SMEs innovating in-house
(vidines inovacijas vykdančios MVĮ)</t>
  </si>
  <si>
    <t>research institutions
(Mokslinių tyrimų organizacijos)</t>
  </si>
  <si>
    <t>annual FTEs
(Vienų metų etato ekvivalentai)</t>
  </si>
  <si>
    <t>patent applications
(Patentų paraiškos)</t>
  </si>
  <si>
    <t>publications
(leidiniai)</t>
  </si>
  <si>
    <t>Research institutions participating in joint research projects (bendruose mokslinių tyrimų projektuose dalyvaujančios mokslo tiriamosios organizacijos)</t>
  </si>
  <si>
    <r>
      <t>Specific objective – 1.1.</t>
    </r>
    <r>
      <rPr>
        <b/>
        <strike/>
        <sz val="11"/>
        <color theme="1"/>
        <rFont val="Calibri"/>
        <family val="2"/>
        <scheme val="minor"/>
      </rPr>
      <t xml:space="preserve"> </t>
    </r>
    <r>
      <rPr>
        <b/>
        <sz val="11"/>
        <color theme="1"/>
        <rFont val="Calibri"/>
        <family val="2"/>
        <scheme val="minor"/>
      </rPr>
      <t>Developing and enhancing research and innovation capacities and the uptake of advanced technologies (Plėtoti ir stiprinti mokslinių tyrimų ir inovacinius pajėgumus ir diegti pažangiąsias technologijas)</t>
    </r>
  </si>
  <si>
    <r>
      <t>Specific objective – 1.1.</t>
    </r>
    <r>
      <rPr>
        <b/>
        <strike/>
        <sz val="11"/>
        <color theme="1"/>
        <rFont val="Calibri"/>
        <family val="2"/>
        <charset val="186"/>
        <scheme val="minor"/>
      </rPr>
      <t xml:space="preserve"> </t>
    </r>
    <r>
      <rPr>
        <b/>
        <sz val="11"/>
        <color theme="1"/>
        <rFont val="Calibri"/>
        <family val="2"/>
        <charset val="186"/>
        <scheme val="minor"/>
      </rPr>
      <t>Developing and enhancing research and innovation capacities and the uptake of advanced technologies (Plėtoti ir stiprinti mokslinių tyrimų ir inovacinius pajėgumus ir diegti pažangiąsias technologijas)</t>
    </r>
  </si>
  <si>
    <r>
      <rPr>
        <b/>
        <sz val="11"/>
        <rFont val="Calibri"/>
        <family val="2"/>
        <scheme val="minor"/>
      </rPr>
      <t xml:space="preserve"> 1.1.4.  Enhancing the capacity of researchers by increasing  the attractiveness of researchers' careers and promoting the circulation of minds</t>
    </r>
    <r>
      <rPr>
        <sz val="11"/>
        <rFont val="Calibri"/>
        <family val="2"/>
        <scheme val="minor"/>
      </rPr>
      <t xml:space="preserve"> (Tyrėjų karjeros patrauklumo didinimas ir protų cirkuliacijos skatinimas)</t>
    </r>
  </si>
  <si>
    <t xml:space="preserve">Projects data </t>
  </si>
  <si>
    <t>Submitted applications for R&amp;D and Innovation initiative(Pateiktos paraiškos konkrečiai MTEPI iniciatyvai)</t>
  </si>
  <si>
    <t>Submitted applications for R&amp;D and Innovation initiative
(Pateiktos paraiškos konkrečiai MTEPI iniciatyvai)</t>
  </si>
  <si>
    <t>-</t>
  </si>
  <si>
    <t>Capital Region – 96 , Mid-West Region – 66.</t>
  </si>
  <si>
    <t xml:space="preserve">Submitted applications for R&amp;D and Innovation initiative means that the project actor (the applier) provides its application to the institution, which implements international R&amp;D initiatives (programs). The application covers activity (project) for the implementation of international R&amp;D and Innovations initiatives.                                                                                                                                                                                                                                 
MTEPI is understood as researches and experimental development (R&amp;D) and innovations.
Research and experimental development is considered as foreseen in the Law on Education and Research of the Republic of Lithuania.
Innovation is considered as organisational innovation, process innovation as defined in Article 2 (96, 97) of Regulation (EU) No 651/2014. 
Product innovation means a product or a service that substantially improves an existing product, service on the market (or in specific company). 
</t>
  </si>
  <si>
    <t xml:space="preserve">The monitoring indicator is considered to be achieved when the applier submits an extract of applications, declarations or other documents confirming the implementation of project activities during a certain period and (or) within 3 years after the end of the project activities.
</t>
  </si>
  <si>
    <t>The number of submitted applications for R&amp;D and Innovation initiative achieved during a certain period of implementation and (or) within 3 years after the end of the project activities.</t>
  </si>
  <si>
    <r>
      <t>The total amount for the action is calculated according to the experience of 2014-2020  and Mid-West Region funding intensity level (EU-85%; national-15%) and it is 58.823.529,41 EUR. 34 % of the total amount is allocated to grants and non-financial support and 85 % of this part is allocated to grants: 58.823.529,41 EUR *0,34 * 0,85= 17.000.000,00 EUR.   
The 2029 target for RCO02 is based on the assumption of 33.245,45 EUR average project value per enterprise (in terms of 2014-2020 financed projects in Mid-West Region under the 1 priority measure "INOSTARTAS").</t>
    </r>
    <r>
      <rPr>
        <strike/>
        <sz val="11"/>
        <rFont val="Calibri"/>
        <family val="2"/>
        <scheme val="minor"/>
      </rPr>
      <t xml:space="preserve">
</t>
    </r>
    <r>
      <rPr>
        <sz val="11"/>
        <rFont val="Calibri"/>
        <family val="2"/>
        <scheme val="minor"/>
      </rPr>
      <t>Also the result is reduced 15 % because of implementation risk (according to the experience of 2014-2020 value of discontinued projects is 15% of the value of completed projects): 
(17.000.000,00 EUR/ 33.245,45 EUR)*0,85=435 enterprises.  
As regards milestones for 2024, it is assumed that progress of the action, according to the forecast made in 2022 March-May (data from planned calls for proposals and payments), would amount to 44% of the final targets set based on the allocation for 2021-2027: 44% *435=191 enterprises.</t>
    </r>
  </si>
  <si>
    <t>The total amount for the action is calculated according to the experience of 2014-2020 and Mid-West Region funding intensity level (EU-85%; national-15%) and it is  58.823.529,41 EUR. 66 % of the total amount is allocated to financial instruments. Also multiplier 1,5 is applied and total allocation used for callculation of  the target for  RCO03 is 58.235.294,12 EUR.
The 2029 target for RCO03 is based on the assumption of 1.616.932,73 EUR average project value per enterprise (in terms of 2014-2020 financed projects in MWR under the 1 priority  measure TECHNOINVESTAS)).  Also the result is reduced 15 % because of implementation risk (according to the experience of 2014-2020 value of discontinued projects is 15% of the value of completed projects): 
( 58.235.294,12 EUR/ 1.616.932,73 EUR)*0,85=31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</si>
  <si>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total amount for the action is calculated according to the experience of 2014-2020 and Mid-West Region funding intensity level (EU-85%; national-15%) and it is 58.823.529,41 EUR. 34 % of the total amount is allocated to grants and non-financial support and 15 % of this part is allocated to non-financial support: 58.823.529,41 EUR *0,34 * 0,15=  3.000.000,00 EUR.   
The 2029 target for RCO02 is based on the assumption of 4.897,87 EUR average project value per enterprise (in terms of 2014-2020 financed projects in Mid-West Region under the 1 priority measure "INOGEB LT" project "INOSPURTAS").  Also the result is reduced 15 % because of implementation risk (according to the experience of 2014-2020 value of discontinued projects is 15% of the value of completed projects): 
(3.000.000,00 EUR/ 4.897,87 EUR)*0,85=521 enterprises.  
As regards milestones for 2024, it is assumed that progress of the action, according to the forecast made in 2022 March-May (data from planned calls for proposals and payments), would amount to 44% of the final targets set based on the allocation for 2021-2027: 44% *521=229 enterprises.  </t>
  </si>
  <si>
    <t>The 2029 target for RCO01 equals the 2029 target for RCO02: 127 enterprises. As regards milestones for 2024, it is assumed that progress of the action, according to the forecast made in 2022 March-May (data from planned calls for proposals and payments), would amount to 6% of the final targets set based on the allocation for 2021-2027: 6% * 127 = 8 company.</t>
  </si>
  <si>
    <r>
      <t>Calculation of the indicator is based on the experience of 2014-2020 and state aid rules and the sum, used for calculation of the indicator is 49.770.342,11 EUR=28.369.095,00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
Also the result is reduced 15 % because of implementation risk (according to the experience of 2014-2020 value of discontinued projects is 15% of the value of completed projects):  (49.770.342,11 EUR/ 334.084,25 EUR)*0,85=127 enterprises.  As regards milestones for 2024, it is assumed that progress of the action, according to the experience of 2014-2020, would amount to 6% of the final targets set based on the allocation for 2021-2027: 6% * 127= 8 company.</t>
    </r>
  </si>
  <si>
    <t>The 2029 target for RCO01 equals the 2029 target for RCO03: 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</si>
  <si>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total amount for the intervention field 009 (Capital region) is calculated according to the experience of 2014-2020 and Capital Region funding intensity level (EU-50%; national-50%) and it is 26.945.612,00  EUR. Multiplier 1,5 is applied and total allocation used for callculation of  the target for indikators is  40.418.418,00 EUR.
The 2029 target for RCO03 is based on the assumption of 1.616.932,73 EUR average project value per enterprise (in terms of 2014-2020 financed projects in Captal Region under the 1 priority measure "Technoinvestas" ).
Also the result is reduced 15 % because of implementation risk (according to the experience of 2014-2020 value of discontinued projects is 15% of the value of completed projects):  (40.418.418,00  EUR/ 1.616.932,73 EUR)*0,85=21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</si>
  <si>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
</t>
  </si>
  <si>
    <r>
      <t xml:space="preserve">Calculation of the indicator is based on the experience of 2014-2020 and state aid rules and the sum, used forcalculation of the indicator, is 136.389.878,85 EUR=70.922.737,00 (EU amount) / 0,52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( 136.389.878,85 EUR/ 334.084,25 EUR)*0,85=347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</si>
  <si>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</si>
  <si>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010 (Capital region) is calculated according to the experience of 2014-2020 and Capital Region funding intensity level (EU-50%; national-50%) and it is 64.669.472,00 EUR. Multiplier 1,5 is applied and total allocation used for callculation of  the target for indikators is 97.004.208,00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(97.004.208,00 EUR/ 1.616.932,73 EUR)*0,85=51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</si>
  <si>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
</t>
  </si>
  <si>
    <r>
      <t xml:space="preserve">Calculation on the indicator is based on the experience of 2014-2020 and state aid rules and the sum, used for calculation of the indicator, is 28.369.096,00 EUR=14.184.548,00 (EU amount) / 0,50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(28.369.096,00 EUR/ 334.084,25 EUR)*0,85=72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</si>
  <si>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</si>
  <si>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011 (Capital region) is calculated according to the experience of 2014-2020 and Capital Region funding intensity level (EU-50%; national-50%) and it is  16.167.368,00 EUR. Multiplier 1,5 is applied and total allocation used for callculation of  the target for indikators is 24.251.052,00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(24.251.052,00 EUR/ 1.616.932,73 EUR)*0,85=13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</si>
  <si>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2029 target for RCO01 equals the 2029 target for RCO02: 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</si>
  <si>
    <r>
      <t>Calculation of the indicator is based on the experience of 2014-2020 and state aid rules and the sum used for calculation of the indicator is 14.184.548,00 EUR=7.092.274,00 (EU amount) / 0,50 (</t>
    </r>
    <r>
      <rPr>
        <b/>
        <sz val="11"/>
        <rFont val="Calibri"/>
        <family val="2"/>
        <scheme val="minor"/>
      </rPr>
      <t>possible funding intensity according to the state aid rules</t>
    </r>
    <r>
      <rPr>
        <sz val="11"/>
        <rFont val="Calibri"/>
        <family val="2"/>
        <scheme val="minor"/>
      </rPr>
      <t>). The 2029 target for RCO02 is based on the assumption of 24.992,53 EUR average project value per enterprise (in terms of 2014-2020 financed projects in Mid-West Region under the 3 priority measure "Procesas"). 
Also the result is reduced 15 % because of implementation risk (according to the experience of 2014-2020 value of discontinued projects is 15% of the value of completed projects):  (14.184.548,00  EUR/ 24.992,53 EUR)*0,85=482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r>
  </si>
  <si>
    <t>The 2029 target for RCO01 equals the 2029 target for RCO02: 95 enterprises. As regards milestones for 2024, it is assumed that progress of the action, according to the experience of 2014-2020, would amount to 10% of the final targets set based on the allocation for  2021-2027: 10% * 95 = 10 companies.</t>
  </si>
  <si>
    <r>
      <t xml:space="preserve">Calculation of the indicator is based on the experience of 2014-2020 and state aid rules and the sum used for calculation of the indicator is 37.327.754,39 EUR=21.276.820,00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(37.327.754,39 EUR/ 334.084,25 EUR)*0,85=95 enterprises.  As regards milestones for 2024, it is assumed that progress of the action, according to the experience of 2014-2020, would amount to 10% of the final targets set based on the allocation for  2021-2027: 10% * 95 = 10 companies.</t>
    </r>
  </si>
  <si>
    <t xml:space="preserve">The 2029 target for RCO01 equals the 2029 target for RCO02.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</si>
  <si>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Calculation of the indicator is based on the experience of 2014-2020,  the Mid-West Region funding intensity level (EU-85%; national-15%) and state aid rules.  10% of EU amount (3.000.000,00 EUR) is allocated to the actions, which will not reach the indicators. Co-finansing rate for these actions is 15 % (minimum national intensity level for the Mid-West Region) and it is 3.000.000,00/0,85*0,15=529.411,76 EUR. 
Allocation used for calculation of 2029 targets is based on state aid rules and it is  51.923.076,92 EUR= (30.000.000,00 (total EU amount) -3.000.000,00 EUR (10% of total EU amount, which is allocated to the actions not reaching the target)) / 0,52 (average of possible funding intensity according to the state aid rules). 
The 2029 target for RCO02 is based on the assumption of 2.240.045,39 EUR average project value per enterprise (in terms of 2014-2020 financed projects in Mid-West Region under the 1 priority measures  "SmartFDI", "SmartInvest LT+" ). 
 Also the result is reduced 15 % because of implementation risk (according to the experience of 2014-2020 value of discontinued projects is 15% of the value of completed projects): (51.923.076,92 EUR/ 2.240.045,39 EUR)*0,85=20 enterprises.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</si>
  <si>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The total amount for the intervention field 017 (Capital region) is calculated accordingly: 
Part 1: Calculation of the indicator is based on the experience of 2014-2020 and Capital Region funding intensity level (EU-50%; national-50%) and it is 18.500.000,00=(9.250.000,00/0,50). 
The 2029 target for RCO02 is based on the assumption of 755.879,07 EUR average project value per enterprise (in terms of 2014-2020 financed projects in Capital Region under the 1 priority measure "Inoklaster LT"). 
 Also the result is reduced 15 % because of implementation risk (according to the experience of 2014-2020 value of discontinued projects is 15% of the value of completed projects): (18.500.000,00 EUR/ 755.879,07 EUR)*0,85= 21 enterprises. As regards milestones for 2024, it is assumed that progress of the action, according to the forecast made in 2022 March-May (data from planned calls for proposals and payments),  would amount to 17% of the final targets set based on the allocation for 2021-2027: 17% *21=4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9.373,04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EUR/9.373,04 EUR)*0,85=136 enterprises. As regards milestones for 2024, it is assumed that progress of the action, according to the forecast made in 2022 March-May (data from planned calls for proposals and payments),  would amount to 18% of the final targets set based on the allocation for 2021-2027: 18%*136=24 enterprises. 
Total: the 2029 target for RCO02:  21+136= 157.  </t>
  </si>
  <si>
    <t xml:space="preserve">The 2029 target for RCO01 equals the 2029 target for RCO02.Total: the 2029 target for RCO02:21+136= 157.  </t>
  </si>
  <si>
    <r>
      <t xml:space="preserve">The amount of the intervention field 026 allocated to grants  is calculated accordingly:
Part 1: Calculation of the indicator is based on  the experience of 2014-2020 and state aid rules and the sum used for calculation of the indicator is 22.227.620,00 EUR= (11.113.810,00 (EU amount) / 0,50 </t>
    </r>
    <r>
      <rPr>
        <b/>
        <sz val="11"/>
        <rFont val="Calibri"/>
        <family val="2"/>
        <charset val="186"/>
        <scheme val="minor"/>
      </rPr>
      <t>(possible funding intensity according to the state aid rules</t>
    </r>
    <r>
      <rPr>
        <sz val="11"/>
        <rFont val="Calibri"/>
        <family val="2"/>
        <charset val="186"/>
        <scheme val="minor"/>
      </rPr>
      <t>). The 2029 target for RCO02 is based on the assumption of 475.877,93 EUR average project value per enterprise (in terms of 2014-2020 financed projects in Mid-West Region under the 1 priority measure "Inoklaster LT").  Also the result is reduced 15 % because of implementation risk (according to the experience of 2014-2020 value of discontinued projects is 15% of the value of completed projects):   (22.227.620,00 EUR/ 475.877,93 EUR)*0,85=</t>
    </r>
    <r>
      <rPr>
        <b/>
        <sz val="11"/>
        <rFont val="Calibri"/>
        <family val="2"/>
        <charset val="186"/>
        <scheme val="minor"/>
      </rPr>
      <t xml:space="preserve">40 </t>
    </r>
    <r>
      <rPr>
        <sz val="11"/>
        <rFont val="Calibri"/>
        <family val="2"/>
        <charset val="186"/>
        <scheme val="minor"/>
      </rPr>
      <t xml:space="preserve">enterprises.   As regards milestones for 2024, it is assumed that progress of the action, according to the forecast made in 2022 March-May (data from planned calls for proposals and payments),  would amount to 17% of the final targets set based on the allocation for 2021-2027: 17% *40=7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9.065,28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EUR/9.065,28 EUR)*0,85=141 enterprises.  As regards milestones for 2024, it is assumed that progress of the action, according to the forecast made in 2022 March-May (data from planned calls for proposals and payments),  would amount to 18% of the final targets set based on the allocation for 2021-2027: 18%*141= 25 enterprises.
Total: the 2029 target for RCO02:  40+141= 181. </t>
    </r>
  </si>
  <si>
    <t>The 2029 target for RCR03 is based on the assumption that all of the supported SMEs will introduce at least 1 product or process innovation (in terms of 2014-2020 financed projects in Mid-West Region under the 1 priority measures "Inoklaster LT" and "Inoconnect" ): RCO1=RCO02 Part 1=RCR03=40.</t>
  </si>
  <si>
    <t>The 2029 target for RCO01 equals the 2029 target for RCO02. Total: the 2029 target for RCO02:  40+141= 181.</t>
  </si>
  <si>
    <r>
      <t xml:space="preserve">
The total amount of the action (intervention code 010) is calculated according to the expierence of 2014-2020 and Capital Region funding intensity level (EU-50%; national - 50%) and it is 5.760.000,00 Eur (2.880.000,00*100/50) . </t>
    </r>
    <r>
      <rPr>
        <i/>
        <sz val="11"/>
        <rFont val="Calibri"/>
        <family val="2"/>
        <scheme val="minor"/>
      </rPr>
      <t>10% of total amount is allocates to building public authorities expertise to make public procurement of innovation, thus the total funding amounts 5.184.000,00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(5.184.000,00/540.000,00)*4*0,85=34 enterprise.
As regards milestones for 2024, it is assumed that there will be no  progress of the action, according to the forecast made in 2022 March-May (data from planned calls for proposals and payments) the first call is foreseen on 4Q of 2024, so the mileston for 2024 will equal 0.</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</si>
  <si>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22%*34 enterprises=8 products. </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</si>
  <si>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</si>
  <si>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</si>
  <si>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r>
      <t xml:space="preserve">The total amount of the action (intervention code 009) is calculated according to the expierence of 2014-2020 and Capital Region funding intensity level (EU-50%; national - 50%) and it is 2.240.000,00 Eur (1.120.000,00*100/50). </t>
    </r>
    <r>
      <rPr>
        <i/>
        <sz val="11"/>
        <rFont val="Calibri"/>
        <family val="2"/>
        <scheme val="minor"/>
      </rPr>
      <t>10% of total amount is allocated to building public authorities expertise to make public procurement of innovation, thus the total funding amounts 2.016.000,00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(2.016.000,00/540.000,00)=4*4*=16*0,85=14 enterprises.
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</si>
  <si>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total amount of the action is calculated according to the experience of 2014-2020 and the Mid-West Region funding intensity level (EU-85%; national-15%) and it is 17.647.058,82  EUR (15.000.000,00/0,85). The 2029 target for RCO02 is based on the assumption of 30.839,47 EUR average project value per enterprise (in terms of 2014-2020 financed projects in Mid-West Region under the 3 priority measures  "Procesas LT", "Dizainas LT", "E-verslas LT"). 
Also the result is reduced 15 % because of implementation risk (according to the experience of 2014-2020 value of discontinued projects is 15% of the value of completed projects): (17.647.058,82 EUR/ 30.839,47 EUR)*0,85=486 enterprises.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</si>
  <si>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RCO01 equals the 2029 target for RCO02.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</si>
  <si>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RCR03 is based on the assumption that all of the supported SMEs will introduce at least 1 product or process innovation (in terms of 2014-2020 financed projects in Capital Region under the 1 priority measure "Inoklaster LT" ): RCO1=RCO02 Part 1=RCR03=21.</t>
  </si>
  <si>
    <r>
      <t>The total amount of the action (intervention code 009) is calculated according to the expierence of 2014-2020 and Mid-West Region funding intensity level (EU-85%; national - 15%) and it is 1.976.470,59  Eur (1.680.000,00/0,85) .</t>
    </r>
    <r>
      <rPr>
        <i/>
        <sz val="11"/>
        <rFont val="Calibri"/>
        <family val="2"/>
        <scheme val="minor"/>
      </rPr>
      <t xml:space="preserve"> 10% of total amount is allocated to building public authorities expertise to make public procurement of innovation, thus the total funding amounts 1.778.823,53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(1.778.823,53/317.647,00)=6*4=24*0,85=</t>
    </r>
    <r>
      <rPr>
        <strike/>
        <sz val="11"/>
        <rFont val="Calibri"/>
        <family val="2"/>
        <scheme val="minor"/>
      </rPr>
      <t xml:space="preserve">  </t>
    </r>
    <r>
      <rPr>
        <sz val="11"/>
        <rFont val="Calibri"/>
        <family val="2"/>
        <scheme val="minor"/>
      </rPr>
      <t xml:space="preserve">20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</si>
  <si>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r>
      <t xml:space="preserve">
The total amount of the action (intervention code 010) is calculated according to the expierence of 2014-2020 and Mid-West Region funding intensity level (EU-85%; national - 15%) and it is  5.082.352,94 Eur (4.320.000,00*100/85) . 1</t>
    </r>
    <r>
      <rPr>
        <i/>
        <sz val="11"/>
        <rFont val="Calibri"/>
        <family val="2"/>
        <scheme val="minor"/>
      </rPr>
      <t>0% of total amount is allocates to building public authorities expertise to make public procurement of innovation, thus the total funding amounts 4.574.117,65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(4.574.117,65/317.647,00)*4*0,85=48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</si>
  <si>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2029 target for RCO01 equals the sum of the 2029 targets for RCO02 and RC003 (139= 89+50).
As regards milestones for 2024 it equals the amount of RCO02 (16) and RCO03 (0) and is 16.</t>
  </si>
  <si>
    <r>
      <t>The amount of the intervention field 030 allocated to grants  is calculated accordingly:
Part 1: Taking into acount the expierence of 2014-2020 the average of possible funding intensity according to the state aid rules is 54%. The 2029 target for RCO02 Part 1 is based on the assumption of 918.562,49 EUR average project value per enterprise (in terms of 2014-2020 financed projects in Mid-West Region under the 1 priority measures  "Intelektas.Bendri mokslo-verslo projektai" ir "Eksperimentas"). 35% of the total amount (75.000.000,00 EUR) is allocated and it is 49.074.074,07 Eur (</t>
    </r>
    <r>
      <rPr>
        <b/>
        <sz val="11"/>
        <rFont val="Calibri"/>
        <family val="2"/>
        <scheme val="minor"/>
      </rPr>
      <t>26.500.000,00</t>
    </r>
    <r>
      <rPr>
        <sz val="11"/>
        <rFont val="Calibri"/>
        <family val="2"/>
        <scheme val="minor"/>
      </rPr>
      <t>/0,54); 
Part 2: Taking into acount  the experience of 2014-2020 and the Mid-West Region funding intensity level (EU-85%; national-15%) and it is  3.235.294,12 EUR (</t>
    </r>
    <r>
      <rPr>
        <b/>
        <sz val="11"/>
        <rFont val="Calibri"/>
        <family val="2"/>
        <scheme val="minor"/>
      </rPr>
      <t>2.750.000,00</t>
    </r>
    <r>
      <rPr>
        <sz val="11"/>
        <rFont val="Calibri"/>
        <family val="2"/>
        <scheme val="minor"/>
      </rPr>
      <t>/0,85). 
Part 1: One part of 2029 target for RCO02 is based on the assumption of  918.562,49 EUR average project value per enterprise (in terms of 2014-2020 financed projects in Mid-West Region under the 1 priority measures  "Intelektas.Bendri mokslo-verslo projektai" ir "Eksperimentas"). Also the result is reduced 15 % because of implementation risk (according to the experience of 2014-2020 value of discontinued projects is 15% of the value of completed projects): (49.074.074,07EUR/918.562,49 EUR)*0,85=45.
Part 2: The  calculation for the part of 2029 target for RCO02 is based on the assumption of 62.561,89 EUR average project value per enterprise (in terms of 2014-2020 financed projects in Mid-West Region under the 3 priority measure "Eco-inovacijos LT"). Also the result is reduced 15 % because of implementation risk : Also the result is reduced 15 % because of implementation risk (according to the experience of 2014-2020 value of discontinued projects is 15% of the value of completed projects): ( 3.235.294,12 EUR/ 62.561,89 EUR)*0,85=44 enterprises.
Total: the 2029 target for RCO02: 45+44=</t>
    </r>
    <r>
      <rPr>
        <b/>
        <sz val="11"/>
        <rFont val="Calibri"/>
        <family val="2"/>
        <scheme val="minor"/>
      </rPr>
      <t xml:space="preserve">89. </t>
    </r>
    <r>
      <rPr>
        <sz val="11"/>
        <rFont val="Calibri"/>
        <family val="2"/>
        <scheme val="minor"/>
      </rPr>
      <t>As regards milestones for 2024, it is assumed that progress of the action, according to the forecast made in 2022 March-May (data from planned calls for proposals and payments),  would amount to 18% of the final targets set based on the allocation for 2021-2027:18% * 89 =16 companies.</t>
    </r>
  </si>
  <si>
    <r>
      <t xml:space="preserve">The amount of the intervention field 030 allocated to the financial instruments is calculated according to the experience of 2014-2020 and Mid-West Region funding intensity level (EU-85%; national-15%) and it is 53.823.529,41 EUR. Multiplier 1,5 is applied and total allocation used for callculation of  the target for indicators is 80.735.294,12  EUR.
The 2029 target for RCR01 is based on the assumption that to create one job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(80.735.294,12 EUR/263.460 EUR)*0,85= </t>
    </r>
    <r>
      <rPr>
        <b/>
        <sz val="11"/>
        <rFont val="Calibri"/>
        <family val="2"/>
        <scheme val="minor"/>
      </rPr>
      <t>260</t>
    </r>
    <r>
      <rPr>
        <sz val="11"/>
        <rFont val="Calibri"/>
        <family val="2"/>
        <scheme val="minor"/>
      </rPr>
      <t xml:space="preserve"> jobs. </t>
    </r>
  </si>
  <si>
    <r>
      <t>The 2029 target for RCR02 (private investment) is calculated accordingly: 49.074.074,07 EUR of total amount is allocated to grants (according to the state aid rules Part 1)  taking into acount 54% funding intensity level . Private investments of enterprises supported by grants is:  49.074.074,07 EUR (total amount) * 0,46 (private funding)= 22.574.074,07 EUR.
3.235.294,12 EUR of total amount is allocated to grants (Part 2)  taking into acount 85% funding intensity level. Private investments of enterprises supported by grants is: 3.235.294,12  EUR (total amount) * 0,15 (private funding)=485.294,12 EUR.
53.823.529,41 EUR of total amount is allocated to financial instruments   taking into acount 85% funding intensity level. Multiplier 1,5 is applied and total allocation used for callculation of  the target for RCR02 is  80.735.294,12  EUR. Private investments of enterprises supported by  financial enterprises is: 80.735.294,12 EUR (total amount with multiplier) * 0,15 (private funding)=12.110.294,12EUR.
In total the 2029 target for RCR02 is 22.574.074,07 EUR+  485.294,12 EUR +</t>
    </r>
    <r>
      <rPr>
        <strike/>
        <sz val="11"/>
        <rFont val="Calibri"/>
        <family val="2"/>
        <scheme val="minor"/>
      </rPr>
      <t xml:space="preserve"> </t>
    </r>
    <r>
      <rPr>
        <sz val="11"/>
        <rFont val="Calibri"/>
        <family val="2"/>
        <scheme val="minor"/>
      </rPr>
      <t>12.110.294,12 EUR=</t>
    </r>
    <r>
      <rPr>
        <b/>
        <sz val="11"/>
        <rFont val="Calibri"/>
        <family val="2"/>
        <scheme val="minor"/>
      </rPr>
      <t>35.169.662,31</t>
    </r>
    <r>
      <rPr>
        <sz val="11"/>
        <rFont val="Calibri"/>
        <family val="2"/>
        <scheme val="minor"/>
      </rPr>
      <t>EUR.</t>
    </r>
  </si>
  <si>
    <t>The 2029 target for RCR05 equals the 2029 target for RCO01: 139 enterprises.</t>
  </si>
  <si>
    <t>The 2029 target for RCO01 equals the sum of the 2029 targets for RCO02 and RC003 and RC004 (987=435+31+521).
As regards milestones for 2024 it equals the amount of RCO02 (191), RCO03 (0) and RCO04 (229) and is 420.</t>
  </si>
  <si>
    <t>The 2029 target for RCO05 equals the 2029 target for RCO01: 987 enterprises. The 2024 target for RCO05 equals the 2024 target for RCO01  and is 420.
As regards milestones for 2024 it equals the amount of RCO02 (191), RCO03 (0) and RCO04 (229) and is 420.</t>
  </si>
  <si>
    <t>The 2029 target for RCO103 equals the 2029 target for RCO05=RCO01: 987 enterprises. The 2024 target for RC103 equals the 2024 target for RCO01  and is 420.
As regards milestones for 2024 it equals the amount of RCO02 (191), RCO03 (0) and RCO04 (229) and is 420.</t>
  </si>
  <si>
    <t>The amount of the intervention field 030 allocated to the financial instruments (61% of the total amount minus 10% dedicated to subsidy for covering wages) is calculated according to the experience of 2014-2020 and Mid-West Region funding intensity level (EU-85%; national-15%) and it is 53.823.529,41EUR (45.750.000,00/0,85). Multiplier 1,5 is applied and total allocation used for callculation of  the target for indicators is 80.735.294,12 EUR.
The 2029 target for RCO03 is based on the assumption of 1.378.256,09 EUR average project -value per enterprise (in terms of 2014-2020 financed projects in Mid-West Region under the 3 priority measure  "Eco-inovacijos LT+" ). 
Also the result is reduced 15 % because of implementation risk (according to the experience of 2014-2020 value of discontinued projects is 15% of the value of completed projects): (80.735.294,12 EUR/1.378.256,09 EUR)*0,85= 50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</si>
  <si>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Referring to the experience of 2014-2020  financed projects in the Mid-West Region under the 1 priority measure "Inoconnect" the sum used for calculation is 271.958,47/28=9.712,80 EUR. Also the result is reduced 15 % because of implementation risk (according to the experience of 2014-2020 value of discontinued projects is 15% of the value of completed projects). The 2029 target for specific result is based on the assumption of  9.712,80  EUR average project value per enterprise and the result is 1.500.000,00/9.712,80 Eur*0,85=131.</t>
  </si>
  <si>
    <t>Referring to the experience of 2014-2020  financed projects in the Mid-West Region under the 1 priority measure "Inoconnect" the sum for calculation is 459.278,97/69=6.656,22 EUR. Also the result is reduced 15 % because of implementation risk (according to the experience of 2014-2020 value of discontinued projects is 15% of the value of completed projects). The 2029 target for specific result is based on the assumption of  6.656,22 EUR average project value per enterprise and the result is 1.500.000,00/6.656,22 EUR*0,85=192.</t>
  </si>
  <si>
    <t>Small and medium-sized enterprises (SMEs) introducing product or process innovation (produktų ar procesų inovacijas diegiančios mažosios ir vidutinės įmonės (MVĮ))</t>
  </si>
  <si>
    <r>
      <t xml:space="preserve">The 2029 target for RCO01 equals the 2029 target for RCO02: </t>
    </r>
    <r>
      <rPr>
        <b/>
        <sz val="11"/>
        <rFont val="Calibri"/>
        <family val="2"/>
        <charset val="186"/>
        <scheme val="minor"/>
      </rPr>
      <t>310 enterprises</t>
    </r>
    <r>
      <rPr>
        <sz val="11"/>
        <rFont val="Calibri"/>
        <family val="2"/>
        <charset val="186"/>
        <scheme val="minor"/>
      </rPr>
      <t xml:space="preserve">. As regards milestones for 2024, it is assumed that progress of the action, according to the forecast made in 2022 March-May (data from planned calls for proposals and payments),  would amount to 23% of the final targets set based on the allocation for 2021-2027: </t>
    </r>
    <r>
      <rPr>
        <b/>
        <sz val="11"/>
        <rFont val="Calibri"/>
        <family val="2"/>
        <charset val="186"/>
        <scheme val="minor"/>
      </rPr>
      <t>23% * 310= 71 companies.</t>
    </r>
  </si>
  <si>
    <r>
      <rPr>
        <b/>
        <sz val="11"/>
        <rFont val="Calibri"/>
        <family val="2"/>
        <charset val="186"/>
        <scheme val="minor"/>
      </rPr>
      <t>70.922.737.00 (EU amount) - 7.500.000,00 (dedicated to HE 2024/2025)=63.422.737,00 EUR</t>
    </r>
    <r>
      <rPr>
        <sz val="11"/>
        <rFont val="Calibri"/>
        <family val="2"/>
        <charset val="186"/>
        <scheme val="minor"/>
      </rPr>
      <t xml:space="preserve">. Calculation of the indicator is based on the experience of 2014-2020 and state aid rules and the sum, used forcalculation of the indicator, is </t>
    </r>
    <r>
      <rPr>
        <b/>
        <sz val="11"/>
        <rFont val="Calibri"/>
        <family val="2"/>
        <charset val="186"/>
        <scheme val="minor"/>
      </rPr>
      <t xml:space="preserve">121.966.801,92 EUR=63.422.737,00 (EU amount) / 0,52 </t>
    </r>
    <r>
      <rPr>
        <sz val="11"/>
        <rFont val="Calibri"/>
        <family val="2"/>
        <charset val="186"/>
        <scheme val="minor"/>
      </rPr>
      <t xml:space="preserve">(average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b/>
        <sz val="11"/>
        <rFont val="Calibri"/>
        <family val="2"/>
        <charset val="186"/>
        <scheme val="minor"/>
      </rPr>
      <t>( 121.966.801,92 EUR/ 334.084,25 EUR)*0,85=310 enterprises</t>
    </r>
    <r>
      <rPr>
        <sz val="11"/>
        <rFont val="Calibri"/>
        <family val="2"/>
        <charset val="186"/>
        <scheme val="minor"/>
      </rPr>
      <t xml:space="preserve">. As regards milestones for 2024, it is assumed that progress of the action, according to the forecast made in 2022 March-May (data from planned calls for proposals and payments),  would amount to 23% of the final targets set based on the allocation for 2021-2027: </t>
    </r>
    <r>
      <rPr>
        <b/>
        <sz val="11"/>
        <rFont val="Calibri"/>
        <family val="2"/>
        <charset val="186"/>
        <scheme val="minor"/>
      </rPr>
      <t>23% * 310= 71 companies</t>
    </r>
    <r>
      <rPr>
        <sz val="11"/>
        <rFont val="Calibri"/>
        <family val="2"/>
        <charset val="186"/>
        <scheme val="minor"/>
      </rPr>
      <t>.</t>
    </r>
  </si>
  <si>
    <r>
      <t>The 2029 target for RCR02 (private investment) is 48% private funding according to the state aid rules (</t>
    </r>
    <r>
      <rPr>
        <b/>
        <sz val="11"/>
        <rFont val="Calibri"/>
        <family val="2"/>
        <charset val="186"/>
        <scheme val="minor"/>
      </rPr>
      <t>121.966.801,92 EUR*0,48=58.544.064,92 EUR</t>
    </r>
    <r>
      <rPr>
        <sz val="11"/>
        <rFont val="Calibri"/>
        <family val="2"/>
        <charset val="186"/>
        <scheme val="minor"/>
      </rPr>
      <t>).</t>
    </r>
  </si>
  <si>
    <r>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b/>
        <sz val="11"/>
        <rFont val="Calibri"/>
        <family val="2"/>
        <charset val="186"/>
        <scheme val="minor"/>
      </rPr>
      <t xml:space="preserve">(121.966.801,92 EUR*0,92/1.350.827,18 EUR)*0,85=71 research jobs. </t>
    </r>
  </si>
  <si>
    <t>10 vvl</t>
  </si>
  <si>
    <r>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 </t>
    </r>
    <r>
      <rPr>
        <strike/>
        <sz val="11"/>
        <rFont val="Calibri"/>
        <family val="2"/>
        <scheme val="minor"/>
      </rPr>
      <t>45.129.459</t>
    </r>
    <r>
      <rPr>
        <sz val="11"/>
        <rFont val="Calibri"/>
        <family val="2"/>
        <scheme val="minor"/>
      </rPr>
      <t xml:space="preserve"> </t>
    </r>
    <r>
      <rPr>
        <b/>
        <sz val="11"/>
        <rFont val="Calibri"/>
        <family val="2"/>
        <scheme val="minor"/>
      </rPr>
      <t>34.380.669</t>
    </r>
    <r>
      <rPr>
        <sz val="11"/>
        <rFont val="Calibri"/>
        <family val="2"/>
        <scheme val="minor"/>
      </rPr>
      <t xml:space="preserve"> Eur * 20 percent = </t>
    </r>
    <r>
      <rPr>
        <strike/>
        <sz val="11"/>
        <rFont val="Calibri"/>
        <family val="2"/>
        <scheme val="minor"/>
      </rPr>
      <t>9.025.891,8</t>
    </r>
    <r>
      <rPr>
        <sz val="11"/>
        <rFont val="Calibri"/>
        <family val="2"/>
        <scheme val="minor"/>
      </rPr>
      <t xml:space="preserve"> </t>
    </r>
    <r>
      <rPr>
        <b/>
        <sz val="11"/>
        <rFont val="Calibri"/>
        <family val="2"/>
        <scheme val="minor"/>
      </rPr>
      <t>6.876.133,8</t>
    </r>
    <r>
      <rPr>
        <sz val="11"/>
        <rFont val="Calibri"/>
        <family val="2"/>
        <scheme val="minor"/>
      </rPr>
      <t xml:space="preserve"> Eur ~ </t>
    </r>
    <r>
      <rPr>
        <strike/>
        <sz val="11"/>
        <rFont val="Calibri"/>
        <family val="2"/>
        <scheme val="minor"/>
      </rPr>
      <t>9.025.890</t>
    </r>
    <r>
      <rPr>
        <sz val="11"/>
        <rFont val="Calibri"/>
        <family val="2"/>
        <scheme val="minor"/>
      </rPr>
      <t xml:space="preserve"> </t>
    </r>
    <r>
      <rPr>
        <b/>
        <sz val="11"/>
        <rFont val="Calibri"/>
        <family val="2"/>
        <scheme val="minor"/>
      </rPr>
      <t>6.876.130</t>
    </r>
    <r>
      <rPr>
        <sz val="11"/>
        <rFont val="Calibri"/>
        <family val="2"/>
        <scheme val="minor"/>
      </rPr>
      <t xml:space="preserve"> Eur.
The projected value of the indicator for 2024 will be 10 percent of the projected value for 2029: </t>
    </r>
    <r>
      <rPr>
        <strike/>
        <sz val="11"/>
        <rFont val="Calibri"/>
        <family val="2"/>
        <scheme val="minor"/>
      </rPr>
      <t>9.025.890</t>
    </r>
    <r>
      <rPr>
        <sz val="11"/>
        <rFont val="Calibri"/>
        <family val="2"/>
        <scheme val="minor"/>
      </rPr>
      <t xml:space="preserve"> </t>
    </r>
    <r>
      <rPr>
        <b/>
        <sz val="11"/>
        <rFont val="Calibri"/>
        <family val="2"/>
        <scheme val="minor"/>
      </rPr>
      <t>6.876.130</t>
    </r>
    <r>
      <rPr>
        <sz val="11"/>
        <rFont val="Calibri"/>
        <family val="2"/>
        <scheme val="minor"/>
      </rPr>
      <t xml:space="preserve"> * 10 percent = </t>
    </r>
    <r>
      <rPr>
        <strike/>
        <sz val="11"/>
        <rFont val="Calibri"/>
        <family val="2"/>
        <scheme val="minor"/>
      </rPr>
      <t>902.589</t>
    </r>
    <r>
      <rPr>
        <sz val="11"/>
        <rFont val="Calibri"/>
        <family val="2"/>
        <scheme val="minor"/>
      </rPr>
      <t xml:space="preserve"> </t>
    </r>
    <r>
      <rPr>
        <b/>
        <sz val="11"/>
        <rFont val="Calibri"/>
        <family val="2"/>
        <scheme val="minor"/>
      </rPr>
      <t>687.613</t>
    </r>
    <r>
      <rPr>
        <sz val="11"/>
        <rFont val="Calibri"/>
        <family val="2"/>
        <scheme val="minor"/>
      </rPr>
      <t xml:space="preserve"> Eur. Estimation is made on the basis of financing part paid at the end of the year four of the period 2014–2020. </t>
    </r>
  </si>
  <si>
    <r>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t>
    </r>
    <r>
      <rPr>
        <strike/>
        <sz val="11"/>
        <rFont val="Calibri"/>
        <family val="2"/>
        <scheme val="minor"/>
      </rPr>
      <t>45.129.459</t>
    </r>
    <r>
      <rPr>
        <sz val="11"/>
        <rFont val="Calibri"/>
        <family val="2"/>
        <scheme val="minor"/>
      </rPr>
      <t xml:space="preserve"> </t>
    </r>
    <r>
      <rPr>
        <b/>
        <sz val="11"/>
        <rFont val="Calibri"/>
        <family val="2"/>
        <scheme val="minor"/>
      </rPr>
      <t xml:space="preserve">34.380.669 </t>
    </r>
    <r>
      <rPr>
        <sz val="11"/>
        <rFont val="Calibri"/>
        <family val="2"/>
        <scheme val="minor"/>
      </rPr>
      <t xml:space="preserve">Eur * 332 / 76.463.763 Eur ~ </t>
    </r>
    <r>
      <rPr>
        <strike/>
        <sz val="11"/>
        <rFont val="Calibri"/>
        <family val="2"/>
        <scheme val="minor"/>
      </rPr>
      <t>195,9</t>
    </r>
    <r>
      <rPr>
        <sz val="11"/>
        <rFont val="Calibri"/>
        <family val="2"/>
        <scheme val="minor"/>
      </rPr>
      <t xml:space="preserve"> </t>
    </r>
    <r>
      <rPr>
        <b/>
        <sz val="11"/>
        <rFont val="Calibri"/>
        <family val="2"/>
        <scheme val="minor"/>
      </rPr>
      <t>149,3</t>
    </r>
    <r>
      <rPr>
        <sz val="11"/>
        <rFont val="Calibri"/>
        <family val="2"/>
        <scheme val="minor"/>
      </rPr>
      <t xml:space="preserve"> ~ </t>
    </r>
    <r>
      <rPr>
        <strike/>
        <sz val="11"/>
        <rFont val="Calibri"/>
        <family val="2"/>
        <scheme val="minor"/>
      </rPr>
      <t>195</t>
    </r>
    <r>
      <rPr>
        <sz val="11"/>
        <rFont val="Calibri"/>
        <family val="2"/>
        <scheme val="minor"/>
      </rPr>
      <t xml:space="preserve"> </t>
    </r>
    <r>
      <rPr>
        <b/>
        <sz val="11"/>
        <rFont val="Calibri"/>
        <family val="2"/>
        <scheme val="minor"/>
      </rPr>
      <t>150</t>
    </r>
    <r>
      <rPr>
        <sz val="11"/>
        <rFont val="Calibri"/>
        <family val="2"/>
        <scheme val="minor"/>
      </rPr>
      <t xml:space="preserve">.
The projected value of the Indicator for 2024 will be 10 percent of the projected value for 2029: </t>
    </r>
    <r>
      <rPr>
        <strike/>
        <sz val="11"/>
        <rFont val="Calibri"/>
        <family val="2"/>
        <scheme val="minor"/>
      </rPr>
      <t>195</t>
    </r>
    <r>
      <rPr>
        <sz val="11"/>
        <rFont val="Calibri"/>
        <family val="2"/>
        <scheme val="minor"/>
      </rPr>
      <t xml:space="preserve"> </t>
    </r>
    <r>
      <rPr>
        <b/>
        <sz val="11"/>
        <rFont val="Calibri"/>
        <family val="2"/>
        <scheme val="minor"/>
      </rPr>
      <t>150</t>
    </r>
    <r>
      <rPr>
        <sz val="11"/>
        <rFont val="Calibri"/>
        <family val="2"/>
        <scheme val="minor"/>
      </rPr>
      <t xml:space="preserve"> * 10 percent = </t>
    </r>
    <r>
      <rPr>
        <strike/>
        <sz val="11"/>
        <rFont val="Calibri"/>
        <family val="2"/>
        <scheme val="minor"/>
      </rPr>
      <t>19,5</t>
    </r>
    <r>
      <rPr>
        <sz val="11"/>
        <rFont val="Calibri"/>
        <family val="2"/>
        <scheme val="minor"/>
      </rPr>
      <t xml:space="preserve"> </t>
    </r>
    <r>
      <rPr>
        <b/>
        <sz val="11"/>
        <rFont val="Calibri"/>
        <family val="2"/>
        <scheme val="minor"/>
      </rPr>
      <t>15</t>
    </r>
    <r>
      <rPr>
        <sz val="11"/>
        <rFont val="Calibri"/>
        <family val="2"/>
        <scheme val="minor"/>
      </rPr>
      <t xml:space="preserve"> </t>
    </r>
    <r>
      <rPr>
        <strike/>
        <sz val="11"/>
        <rFont val="Calibri"/>
        <family val="2"/>
        <scheme val="minor"/>
      </rPr>
      <t>~ 20</t>
    </r>
    <r>
      <rPr>
        <sz val="11"/>
        <rFont val="Calibri"/>
        <family val="2"/>
        <scheme val="minor"/>
      </rPr>
      <t xml:space="preserve">. Estimation is made on the basis of financing part paid at the end of the year four of the period 2014–2020. </t>
    </r>
  </si>
  <si>
    <r>
      <t xml:space="preserve">The projected value of the indicator for 2029 has been calculated according to EC recommendations to promote implementation of international projects.
It is planned to implement </t>
    </r>
    <r>
      <rPr>
        <strike/>
        <sz val="11"/>
        <rFont val="Calibri"/>
        <family val="2"/>
        <scheme val="minor"/>
      </rPr>
      <t>60</t>
    </r>
    <r>
      <rPr>
        <sz val="11"/>
        <rFont val="Calibri"/>
        <family val="2"/>
        <scheme val="minor"/>
      </rPr>
      <t xml:space="preserve"> </t>
    </r>
    <r>
      <rPr>
        <b/>
        <sz val="11"/>
        <rFont val="Calibri"/>
        <family val="2"/>
        <scheme val="minor"/>
      </rPr>
      <t>6</t>
    </r>
    <r>
      <rPr>
        <sz val="11"/>
        <rFont val="Calibri"/>
        <family val="2"/>
        <scheme val="minor"/>
      </rPr>
      <t xml:space="preserve"> projects (EU partnerships) with a value of about 200.000 Eur, 3 projects (Seal of Excellence) worth about 4.000.000 Eur and 5 projects for integration into Eurpean infrastructures, the value of which is about 0,5 to 2,5 mln. (average 1 mln.) Eur: </t>
    </r>
    <r>
      <rPr>
        <strike/>
        <sz val="11"/>
        <rFont val="Calibri"/>
        <family val="2"/>
        <scheme val="minor"/>
      </rPr>
      <t>60</t>
    </r>
    <r>
      <rPr>
        <sz val="11"/>
        <rFont val="Calibri"/>
        <family val="2"/>
        <scheme val="minor"/>
      </rPr>
      <t xml:space="preserve"> </t>
    </r>
    <r>
      <rPr>
        <b/>
        <sz val="11"/>
        <rFont val="Calibri"/>
        <family val="2"/>
        <scheme val="minor"/>
      </rPr>
      <t>6</t>
    </r>
    <r>
      <rPr>
        <sz val="11"/>
        <rFont val="Calibri"/>
        <family val="2"/>
        <scheme val="minor"/>
      </rPr>
      <t xml:space="preserve"> * 200.000 Eur + 3 * 4.000.000 Eur + 5* 1.000.000 Eur = </t>
    </r>
    <r>
      <rPr>
        <strike/>
        <sz val="11"/>
        <rFont val="Calibri"/>
        <family val="2"/>
        <scheme val="minor"/>
      </rPr>
      <t>29.000.000</t>
    </r>
    <r>
      <rPr>
        <b/>
        <sz val="11"/>
        <rFont val="Calibri"/>
        <family val="2"/>
        <scheme val="minor"/>
      </rPr>
      <t xml:space="preserve"> 18.200.000 </t>
    </r>
    <r>
      <rPr>
        <sz val="11"/>
        <rFont val="Calibri"/>
        <family val="2"/>
        <scheme val="minor"/>
      </rPr>
      <t>Eur. It is assumed that these projects will achieve the indicator and that each project will produce at least 3 publications. The planned target value of the indicator in the Capital Region: (</t>
    </r>
    <r>
      <rPr>
        <strike/>
        <sz val="11"/>
        <rFont val="Calibri"/>
        <family val="2"/>
        <scheme val="minor"/>
      </rPr>
      <t>60</t>
    </r>
    <r>
      <rPr>
        <sz val="11"/>
        <rFont val="Calibri"/>
        <family val="2"/>
        <scheme val="minor"/>
      </rPr>
      <t xml:space="preserve"> </t>
    </r>
    <r>
      <rPr>
        <b/>
        <sz val="11"/>
        <rFont val="Calibri"/>
        <family val="2"/>
        <scheme val="minor"/>
      </rPr>
      <t xml:space="preserve">6 </t>
    </r>
    <r>
      <rPr>
        <sz val="11"/>
        <rFont val="Calibri"/>
        <family val="2"/>
        <scheme val="minor"/>
      </rPr>
      <t xml:space="preserve">+ 3 + 5) * 3 = </t>
    </r>
    <r>
      <rPr>
        <strike/>
        <sz val="11"/>
        <rFont val="Calibri"/>
        <family val="2"/>
        <scheme val="minor"/>
      </rPr>
      <t>204</t>
    </r>
    <r>
      <rPr>
        <sz val="11"/>
        <rFont val="Calibri"/>
        <family val="2"/>
        <scheme val="minor"/>
      </rPr>
      <t xml:space="preserve"> </t>
    </r>
    <r>
      <rPr>
        <b/>
        <sz val="11"/>
        <rFont val="Calibri"/>
        <family val="2"/>
        <scheme val="minor"/>
      </rPr>
      <t xml:space="preserve">42 </t>
    </r>
    <r>
      <rPr>
        <strike/>
        <sz val="11"/>
        <rFont val="Calibri"/>
        <family val="2"/>
        <scheme val="minor"/>
      </rPr>
      <t>~ 205</t>
    </r>
    <r>
      <rPr>
        <sz val="11"/>
        <rFont val="Calibri"/>
        <family val="2"/>
        <scheme val="minor"/>
      </rPr>
      <t xml:space="preserve">.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t>
    </r>
    <r>
      <rPr>
        <strike/>
        <sz val="11"/>
        <rFont val="Calibri"/>
        <family val="2"/>
        <scheme val="minor"/>
      </rPr>
      <t>2</t>
    </r>
    <r>
      <rPr>
        <sz val="11"/>
        <rFont val="Calibri"/>
        <family val="2"/>
        <scheme val="minor"/>
      </rPr>
      <t xml:space="preserve"> </t>
    </r>
    <r>
      <rPr>
        <b/>
        <sz val="11"/>
        <rFont val="Calibri"/>
        <family val="2"/>
        <scheme val="minor"/>
      </rPr>
      <t>3</t>
    </r>
    <r>
      <rPr>
        <sz val="11"/>
        <rFont val="Calibri"/>
        <family val="2"/>
        <scheme val="minor"/>
      </rPr>
      <t xml:space="preserve"> Seal of Excellence projects will seek for parameters and RCR06, and RCR08.</t>
    </r>
  </si>
  <si>
    <t>Justification for the proposed change 2023-03</t>
  </si>
  <si>
    <t>012 Capital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</si>
</sst>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 _€_-;\-* #,##0\ _€_-;_-* &quot;-&quot;\ _€_-;_-@_-"/>
    <numFmt numFmtId="164" formatCode="_-* #,##0.00_-;\-* #,##0.00_-;_-* &quot;-&quot;??_-;_-@_-"/>
    <numFmt numFmtId="165" formatCode="0_ ;\-0\ "/>
    <numFmt numFmtId="166" formatCode="#,##0.00\ _€"/>
  </numFmts>
  <fonts count="2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0"/>
      <color theme="1"/>
      <name val="Calibri"/>
      <family val="2"/>
      <charset val="186"/>
      <scheme val="minor"/>
    </font>
    <font>
      <b/>
      <sz val="11"/>
      <color theme="1"/>
      <name val="Calibri"/>
      <family val="2"/>
      <scheme val="minor"/>
    </font>
    <font>
      <b/>
      <sz val="11"/>
      <name val="Calibri"/>
      <family val="2"/>
      <scheme val="minor"/>
    </font>
    <font>
      <i/>
      <sz val="11"/>
      <name val="Calibri"/>
      <family val="2"/>
      <scheme val="minor"/>
    </font>
    <font>
      <strike/>
      <sz val="11"/>
      <name val="Calibri"/>
      <family val="2"/>
      <scheme val="minor"/>
    </font>
    <font>
      <b/>
      <sz val="11"/>
      <color rgb="FFFF0000"/>
      <name val="Calibri"/>
      <family val="2"/>
      <charset val="186"/>
      <scheme val="minor"/>
    </font>
    <font>
      <b/>
      <strike/>
      <sz val="11"/>
      <color theme="1"/>
      <name val="Calibri"/>
      <family val="2"/>
      <scheme val="minor"/>
    </font>
    <font>
      <sz val="10"/>
      <color theme="1"/>
      <name val="Calibri"/>
      <family val="2"/>
      <charset val="186"/>
      <scheme val="minor"/>
    </font>
    <font>
      <b/>
      <strike/>
      <sz val="11"/>
      <color theme="1"/>
      <name val="Calibri"/>
      <family val="2"/>
      <charset val="186"/>
      <scheme val="minor"/>
    </font>
    <font>
      <sz val="8"/>
      <name val="Calibri"/>
      <family val="2"/>
      <scheme val="minor"/>
    </font>
    <font>
      <sz val="11"/>
      <color rgb="FF00B05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41" fontId="8" fillId="0" borderId="0" applyFont="0" applyFill="0" applyBorder="0" applyAlignment="0" applyProtection="0"/>
    <xf numFmtId="0" fontId="8" fillId="0" borderId="0"/>
    <xf numFmtId="164" fontId="8" fillId="0" borderId="0" applyFont="0" applyFill="0" applyBorder="0" applyAlignment="0" applyProtection="0"/>
    <xf numFmtId="0" fontId="8" fillId="0" borderId="0"/>
  </cellStyleXfs>
  <cellXfs count="319">
    <xf numFmtId="0" fontId="0" fillId="0" borderId="0" xfId="0"/>
    <xf numFmtId="0" fontId="0" fillId="0" borderId="0" xfId="0" applyAlignment="1">
      <alignment vertical="top"/>
    </xf>
    <xf numFmtId="0" fontId="0" fillId="0" borderId="0" xfId="0" applyAlignment="1">
      <alignment vertical="center" wrapText="1"/>
    </xf>
    <xf numFmtId="3" fontId="0" fillId="0" borderId="0" xfId="0" applyNumberFormat="1"/>
    <xf numFmtId="0" fontId="7" fillId="0" borderId="1" xfId="0" applyFont="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9" fillId="0" borderId="25" xfId="0" applyFont="1" applyBorder="1" applyAlignment="1">
      <alignment horizontal="center" vertical="center" wrapText="1"/>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3" fontId="0" fillId="0" borderId="0" xfId="0" applyNumberFormat="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3" fontId="0" fillId="0" borderId="16" xfId="0" applyNumberFormat="1" applyBorder="1" applyAlignment="1">
      <alignment horizontal="center" vertical="center"/>
    </xf>
    <xf numFmtId="0" fontId="0" fillId="0" borderId="16" xfId="0" applyBorder="1" applyAlignment="1">
      <alignment horizontal="center" vertical="center"/>
    </xf>
    <xf numFmtId="1" fontId="0" fillId="0" borderId="16" xfId="0" applyNumberFormat="1" applyBorder="1" applyAlignment="1">
      <alignment horizontal="center" vertical="center"/>
    </xf>
    <xf numFmtId="0" fontId="0" fillId="0" borderId="10" xfId="0" applyBorder="1" applyAlignment="1">
      <alignment horizontal="center" vertical="center"/>
    </xf>
    <xf numFmtId="3" fontId="0" fillId="0" borderId="17" xfId="0" applyNumberFormat="1" applyBorder="1" applyAlignment="1">
      <alignment horizontal="center" vertical="center"/>
    </xf>
    <xf numFmtId="0" fontId="0" fillId="4" borderId="3" xfId="0" applyFill="1" applyBorder="1" applyAlignment="1">
      <alignment horizontal="center" vertical="center"/>
    </xf>
    <xf numFmtId="1" fontId="0" fillId="0" borderId="3" xfId="0" applyNumberFormat="1" applyBorder="1" applyAlignment="1">
      <alignment horizontal="center" vertical="center"/>
    </xf>
    <xf numFmtId="0" fontId="5" fillId="4" borderId="3" xfId="0" applyFont="1" applyFill="1" applyBorder="1" applyAlignment="1">
      <alignment horizontal="center" vertical="center"/>
    </xf>
    <xf numFmtId="0" fontId="0" fillId="0" borderId="3" xfId="0" applyBorder="1" applyAlignment="1">
      <alignment horizontal="center" vertical="center"/>
    </xf>
    <xf numFmtId="0" fontId="7" fillId="0" borderId="0" xfId="0" applyFont="1" applyAlignment="1">
      <alignment wrapText="1"/>
    </xf>
    <xf numFmtId="0" fontId="0" fillId="0" borderId="0" xfId="0" applyAlignment="1">
      <alignment wrapText="1"/>
    </xf>
    <xf numFmtId="3" fontId="0" fillId="0" borderId="3" xfId="0" applyNumberFormat="1" applyBorder="1" applyAlignment="1">
      <alignment horizontal="center" vertical="center"/>
    </xf>
    <xf numFmtId="0" fontId="7" fillId="0" borderId="1" xfId="0" applyFont="1" applyBorder="1" applyAlignment="1">
      <alignment horizontal="center" vertical="center"/>
    </xf>
    <xf numFmtId="0" fontId="0" fillId="2" borderId="8" xfId="0" applyFill="1" applyBorder="1" applyAlignment="1">
      <alignment horizontal="center" vertical="center"/>
    </xf>
    <xf numFmtId="0" fontId="10" fillId="0" borderId="0" xfId="0" applyFont="1" applyAlignment="1">
      <alignment horizontal="center" vertical="center" wrapText="1"/>
    </xf>
    <xf numFmtId="0" fontId="3" fillId="3" borderId="1" xfId="0" applyFont="1" applyFill="1" applyBorder="1" applyAlignment="1">
      <alignment vertical="center" wrapText="1"/>
    </xf>
    <xf numFmtId="0" fontId="4" fillId="0" borderId="1" xfId="0" applyFont="1" applyBorder="1" applyAlignment="1">
      <alignment horizontal="center" vertical="center" wrapText="1"/>
    </xf>
    <xf numFmtId="0" fontId="0" fillId="2" borderId="0" xfId="0" applyFill="1" applyAlignment="1">
      <alignment vertical="top"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top"/>
    </xf>
    <xf numFmtId="0" fontId="0" fillId="2" borderId="0" xfId="0" applyFill="1" applyAlignment="1">
      <alignment horizontal="center" vertical="center" wrapText="1"/>
    </xf>
    <xf numFmtId="4" fontId="0" fillId="2" borderId="0" xfId="0" applyNumberFormat="1" applyFill="1" applyAlignment="1">
      <alignment horizontal="center" vertical="center"/>
    </xf>
    <xf numFmtId="166" fontId="6" fillId="2" borderId="0" xfId="0" applyNumberFormat="1" applyFont="1" applyFill="1" applyAlignment="1">
      <alignment horizontal="center" vertical="center" wrapText="1"/>
    </xf>
    <xf numFmtId="49" fontId="0" fillId="2" borderId="0" xfId="0" applyNumberFormat="1" applyFill="1" applyAlignment="1">
      <alignment horizontal="center" vertical="center" wrapText="1"/>
    </xf>
    <xf numFmtId="3" fontId="7" fillId="2" borderId="0" xfId="0" applyNumberFormat="1" applyFont="1" applyFill="1" applyAlignment="1">
      <alignment horizontal="center" vertical="center"/>
    </xf>
    <xf numFmtId="1" fontId="7" fillId="2" borderId="0" xfId="0" applyNumberFormat="1" applyFont="1" applyFill="1" applyAlignment="1">
      <alignment horizontal="center" vertical="center"/>
    </xf>
    <xf numFmtId="0" fontId="7" fillId="0" borderId="0" xfId="0" applyFont="1" applyAlignment="1">
      <alignment vertical="top" wrapText="1"/>
    </xf>
    <xf numFmtId="4" fontId="7" fillId="2" borderId="0" xfId="0" applyNumberFormat="1" applyFont="1" applyFill="1" applyAlignment="1">
      <alignment horizontal="center" vertical="center" wrapText="1"/>
    </xf>
    <xf numFmtId="4" fontId="7" fillId="2" borderId="0" xfId="0" applyNumberFormat="1" applyFont="1" applyFill="1" applyAlignment="1">
      <alignment horizontal="center" vertical="center"/>
    </xf>
    <xf numFmtId="0" fontId="7" fillId="0" borderId="0" xfId="0" applyFont="1" applyAlignment="1">
      <alignment horizontal="center" vertical="center"/>
    </xf>
    <xf numFmtId="0" fontId="3" fillId="0" borderId="2" xfId="0" applyFont="1" applyBorder="1" applyAlignment="1">
      <alignment vertical="top"/>
    </xf>
    <xf numFmtId="0" fontId="4" fillId="0" borderId="13" xfId="0" applyFont="1" applyBorder="1" applyAlignment="1">
      <alignment vertical="top" wrapText="1"/>
    </xf>
    <xf numFmtId="0" fontId="3" fillId="0" borderId="13" xfId="0" applyFont="1" applyBorder="1" applyAlignment="1">
      <alignment vertical="top" wrapText="1"/>
    </xf>
    <xf numFmtId="0" fontId="3" fillId="0" borderId="2" xfId="0" applyFont="1" applyBorder="1" applyAlignment="1">
      <alignment vertical="top" wrapText="1"/>
    </xf>
    <xf numFmtId="0" fontId="10" fillId="0" borderId="0" xfId="0" applyFont="1"/>
    <xf numFmtId="0" fontId="0" fillId="0" borderId="30" xfId="0" applyBorder="1"/>
    <xf numFmtId="0" fontId="14" fillId="0" borderId="0" xfId="0" applyFont="1"/>
    <xf numFmtId="0" fontId="16" fillId="0" borderId="1" xfId="0" applyFont="1" applyBorder="1" applyAlignment="1">
      <alignment wrapText="1"/>
    </xf>
    <xf numFmtId="0" fontId="5" fillId="4" borderId="1" xfId="0" applyFont="1" applyFill="1" applyBorder="1" applyAlignment="1">
      <alignment horizontal="center" vertical="center"/>
    </xf>
    <xf numFmtId="1" fontId="7" fillId="0" borderId="1" xfId="0" applyNumberFormat="1" applyFont="1" applyBorder="1" applyAlignment="1">
      <alignment horizontal="center" vertical="center"/>
    </xf>
    <xf numFmtId="0" fontId="7" fillId="0" borderId="3" xfId="0" applyFont="1" applyBorder="1" applyAlignment="1">
      <alignment horizontal="center" vertical="center"/>
    </xf>
    <xf numFmtId="3" fontId="7" fillId="0" borderId="3" xfId="0" applyNumberFormat="1" applyFont="1" applyBorder="1" applyAlignment="1">
      <alignment horizontal="center" vertical="center"/>
    </xf>
    <xf numFmtId="0" fontId="7" fillId="0" borderId="8" xfId="0" applyFont="1" applyBorder="1" applyAlignment="1">
      <alignment horizontal="center" vertical="center"/>
    </xf>
    <xf numFmtId="0" fontId="7" fillId="2" borderId="1" xfId="0" applyFont="1" applyFill="1" applyBorder="1" applyAlignment="1">
      <alignment horizontal="center" vertical="center" wrapText="1"/>
    </xf>
    <xf numFmtId="0" fontId="0" fillId="0" borderId="1" xfId="0" applyBorder="1"/>
    <xf numFmtId="0" fontId="0" fillId="0" borderId="1" xfId="0" applyBorder="1" applyAlignment="1">
      <alignment vertical="top"/>
    </xf>
    <xf numFmtId="0" fontId="0" fillId="0" borderId="1" xfId="0" applyBorder="1" applyAlignment="1">
      <alignment vertical="top" wrapText="1"/>
    </xf>
    <xf numFmtId="0" fontId="3" fillId="3" borderId="3" xfId="0" applyFont="1" applyFill="1" applyBorder="1" applyAlignment="1">
      <alignment vertical="center" wrapText="1"/>
    </xf>
    <xf numFmtId="1" fontId="7" fillId="2" borderId="6" xfId="0" applyNumberFormat="1" applyFont="1" applyFill="1" applyBorder="1" applyAlignment="1">
      <alignment horizontal="center" vertical="center"/>
    </xf>
    <xf numFmtId="4" fontId="7" fillId="2" borderId="6"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4" fontId="7" fillId="2" borderId="12"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4"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1" fontId="7" fillId="2" borderId="11" xfId="0" applyNumberFormat="1"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0" applyFont="1"/>
    <xf numFmtId="0" fontId="0" fillId="0" borderId="1" xfId="0" applyBorder="1" applyAlignment="1">
      <alignment horizontal="center" vertical="top"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65" fontId="0" fillId="0" borderId="0" xfId="1" applyNumberFormat="1" applyFont="1" applyFill="1" applyAlignment="1">
      <alignment vertical="center"/>
    </xf>
    <xf numFmtId="3" fontId="0" fillId="2" borderId="16"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 fillId="0" borderId="2" xfId="0" applyFont="1" applyBorder="1" applyAlignment="1">
      <alignment horizontal="center" vertical="top" wrapText="1"/>
    </xf>
    <xf numFmtId="0" fontId="3" fillId="0" borderId="2" xfId="0" applyFont="1" applyBorder="1" applyAlignment="1">
      <alignment horizontal="center" vertical="top"/>
    </xf>
    <xf numFmtId="0" fontId="2" fillId="0" borderId="0" xfId="0" applyFont="1"/>
    <xf numFmtId="0" fontId="2" fillId="2" borderId="0" xfId="0" applyFont="1" applyFill="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0" xfId="0" applyNumberFormat="1" applyFont="1"/>
    <xf numFmtId="3" fontId="2" fillId="0" borderId="0" xfId="0" applyNumberFormat="1" applyFont="1"/>
    <xf numFmtId="3" fontId="6" fillId="2" borderId="0" xfId="0" applyNumberFormat="1" applyFont="1" applyFill="1" applyAlignment="1">
      <alignment horizontal="center" vertical="center" wrapText="1"/>
    </xf>
    <xf numFmtId="3" fontId="0" fillId="2" borderId="0" xfId="0" applyNumberFormat="1" applyFill="1" applyAlignment="1">
      <alignment horizontal="center" vertical="center" wrapText="1"/>
    </xf>
    <xf numFmtId="3" fontId="0" fillId="2" borderId="0" xfId="0" applyNumberFormat="1" applyFill="1" applyAlignment="1">
      <alignment horizontal="center" vertical="center"/>
    </xf>
    <xf numFmtId="0" fontId="7" fillId="2" borderId="9" xfId="0" applyFont="1" applyFill="1" applyBorder="1" applyAlignment="1">
      <alignment horizontal="center" vertical="center" wrapText="1"/>
    </xf>
    <xf numFmtId="0" fontId="7" fillId="0" borderId="0" xfId="0" applyFont="1"/>
    <xf numFmtId="4" fontId="7" fillId="0" borderId="0" xfId="0" applyNumberFormat="1" applyFont="1" applyAlignment="1">
      <alignment horizontal="center" vertical="top"/>
    </xf>
    <xf numFmtId="0" fontId="7" fillId="0" borderId="0" xfId="0" applyFont="1" applyAlignment="1">
      <alignment horizontal="center" vertical="center" wrapText="1"/>
    </xf>
    <xf numFmtId="4" fontId="7" fillId="0" borderId="0" xfId="0" applyNumberFormat="1" applyFont="1" applyAlignment="1">
      <alignment horizontal="center" vertical="top" wrapText="1"/>
    </xf>
    <xf numFmtId="0" fontId="7" fillId="0" borderId="0" xfId="0" applyFont="1" applyAlignment="1">
      <alignment vertical="center" wrapText="1"/>
    </xf>
    <xf numFmtId="0" fontId="7" fillId="2" borderId="0" xfId="0" applyFont="1" applyFill="1"/>
    <xf numFmtId="0" fontId="0" fillId="0" borderId="11" xfId="0" applyBorder="1" applyAlignment="1">
      <alignment horizontal="center" vertical="center"/>
    </xf>
    <xf numFmtId="0" fontId="3" fillId="2" borderId="2" xfId="0" applyFont="1" applyFill="1" applyBorder="1" applyAlignment="1">
      <alignment horizontal="center" vertical="center" wrapText="1"/>
    </xf>
    <xf numFmtId="0" fontId="0" fillId="0" borderId="11" xfId="0"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19"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3" fontId="7" fillId="0" borderId="2" xfId="0" applyNumberFormat="1" applyFont="1" applyBorder="1" applyAlignment="1">
      <alignment horizontal="center" vertical="center" wrapText="1"/>
    </xf>
    <xf numFmtId="0" fontId="7" fillId="0" borderId="13" xfId="0" applyFont="1" applyBorder="1" applyAlignment="1">
      <alignment horizontal="center" vertical="center" wrapText="1"/>
    </xf>
    <xf numFmtId="3" fontId="7" fillId="2" borderId="6" xfId="0" applyNumberFormat="1" applyFont="1" applyFill="1" applyBorder="1" applyAlignment="1">
      <alignment horizontal="center" vertical="center"/>
    </xf>
    <xf numFmtId="3" fontId="7" fillId="0" borderId="6"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2" borderId="1" xfId="0" applyNumberFormat="1" applyFont="1" applyFill="1" applyBorder="1" applyAlignment="1">
      <alignment horizontal="center" vertical="center" wrapText="1"/>
    </xf>
    <xf numFmtId="3" fontId="7" fillId="0" borderId="11" xfId="0" applyNumberFormat="1" applyFont="1" applyBorder="1" applyAlignment="1">
      <alignment horizontal="center" vertical="center" wrapText="1"/>
    </xf>
    <xf numFmtId="3" fontId="1" fillId="0" borderId="0" xfId="0" applyNumberFormat="1" applyFont="1" applyAlignment="1">
      <alignment horizontal="right"/>
    </xf>
    <xf numFmtId="3" fontId="0" fillId="0" borderId="0" xfId="0" applyNumberFormat="1" applyAlignment="1">
      <alignment horizontal="right"/>
    </xf>
    <xf numFmtId="1" fontId="0" fillId="3" borderId="3" xfId="0" applyNumberForma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12" xfId="0" applyFont="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0" borderId="1" xfId="0" applyFont="1" applyBorder="1" applyAlignment="1">
      <alignment vertical="center" wrapText="1"/>
    </xf>
    <xf numFmtId="1" fontId="7" fillId="2" borderId="7" xfId="0" applyNumberFormat="1" applyFont="1" applyFill="1" applyBorder="1" applyAlignment="1">
      <alignment horizontal="center" vertical="center"/>
    </xf>
    <xf numFmtId="1" fontId="7" fillId="2" borderId="12"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3" fontId="7" fillId="2" borderId="9" xfId="0" applyNumberFormat="1" applyFont="1" applyFill="1" applyBorder="1" applyAlignment="1">
      <alignment horizontal="center" vertical="center"/>
    </xf>
    <xf numFmtId="1" fontId="7" fillId="2" borderId="6"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xf>
    <xf numFmtId="0" fontId="0" fillId="4" borderId="1" xfId="0" applyFill="1" applyBorder="1" applyAlignment="1">
      <alignment horizontal="center" vertical="center"/>
    </xf>
    <xf numFmtId="0" fontId="7" fillId="2" borderId="1" xfId="0" applyFont="1" applyFill="1" applyBorder="1" applyAlignment="1">
      <alignment horizontal="left" vertical="top" wrapText="1"/>
    </xf>
    <xf numFmtId="3" fontId="0" fillId="3" borderId="3" xfId="0" applyNumberFormat="1" applyFill="1" applyBorder="1" applyAlignment="1">
      <alignment horizontal="center" vertical="center"/>
    </xf>
    <xf numFmtId="0" fontId="7" fillId="0" borderId="1" xfId="0" applyFont="1" applyBorder="1"/>
    <xf numFmtId="4" fontId="7" fillId="0" borderId="1" xfId="0" applyNumberFormat="1" applyFont="1" applyBorder="1" applyAlignment="1">
      <alignment horizontal="center" vertical="top"/>
    </xf>
    <xf numFmtId="0" fontId="7" fillId="2" borderId="1" xfId="0" applyFont="1" applyFill="1" applyBorder="1"/>
    <xf numFmtId="4" fontId="7" fillId="0" borderId="1" xfId="0" applyNumberFormat="1" applyFont="1" applyBorder="1" applyAlignment="1">
      <alignment horizontal="center" vertical="center"/>
    </xf>
    <xf numFmtId="4" fontId="19" fillId="0" borderId="1" xfId="0" applyNumberFormat="1" applyFont="1" applyBorder="1" applyAlignment="1">
      <alignment horizontal="left" vertical="center" wrapText="1"/>
    </xf>
    <xf numFmtId="0" fontId="7" fillId="2" borderId="31" xfId="0" applyFont="1" applyFill="1" applyBorder="1" applyAlignment="1">
      <alignment horizontal="left" vertical="top" wrapText="1"/>
    </xf>
    <xf numFmtId="0" fontId="7" fillId="2" borderId="32" xfId="0" applyFont="1" applyFill="1" applyBorder="1" applyAlignment="1">
      <alignment horizontal="left" vertical="center" wrapText="1"/>
    </xf>
    <xf numFmtId="4" fontId="6" fillId="0" borderId="1" xfId="0" applyNumberFormat="1" applyFont="1" applyBorder="1" applyAlignment="1">
      <alignment horizontal="left" vertical="center" wrapText="1"/>
    </xf>
    <xf numFmtId="0" fontId="7" fillId="5" borderId="6"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1"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9" xfId="0" applyFont="1" applyFill="1" applyBorder="1" applyAlignment="1">
      <alignment horizontal="center" vertical="center"/>
    </xf>
    <xf numFmtId="3" fontId="7" fillId="5" borderId="1" xfId="0" applyNumberFormat="1" applyFont="1" applyFill="1" applyBorder="1" applyAlignment="1">
      <alignment horizontal="center" vertical="center"/>
    </xf>
    <xf numFmtId="3" fontId="7" fillId="5" borderId="6"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3" fontId="0" fillId="3" borderId="6" xfId="0" applyNumberFormat="1" applyFill="1" applyBorder="1" applyAlignment="1">
      <alignment horizontal="center" vertical="center"/>
    </xf>
    <xf numFmtId="3" fontId="0" fillId="3" borderId="15" xfId="0" applyNumberFormat="1" applyFill="1" applyBorder="1" applyAlignment="1">
      <alignment horizontal="center" vertical="center"/>
    </xf>
    <xf numFmtId="3" fontId="0" fillId="3" borderId="1" xfId="0" applyNumberFormat="1" applyFill="1" applyBorder="1" applyAlignment="1">
      <alignment horizontal="center" vertical="center"/>
    </xf>
    <xf numFmtId="3" fontId="0" fillId="3" borderId="16" xfId="0" applyNumberFormat="1" applyFill="1" applyBorder="1" applyAlignment="1">
      <alignment horizontal="center" vertical="center"/>
    </xf>
    <xf numFmtId="1" fontId="7" fillId="2" borderId="3" xfId="0" applyNumberFormat="1" applyFont="1" applyFill="1" applyBorder="1" applyAlignment="1">
      <alignment horizontal="center" vertical="center"/>
    </xf>
    <xf numFmtId="1" fontId="0" fillId="2" borderId="3" xfId="0" applyNumberFormat="1" applyFill="1" applyBorder="1" applyAlignment="1">
      <alignment horizontal="center" vertical="center"/>
    </xf>
    <xf numFmtId="3" fontId="3" fillId="0" borderId="0" xfId="0" applyNumberFormat="1" applyFont="1"/>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11" xfId="0" applyNumberFormat="1" applyFont="1" applyFill="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3" fontId="7" fillId="5" borderId="6"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3" fontId="7" fillId="5" borderId="7" xfId="0" applyNumberFormat="1" applyFont="1" applyFill="1" applyBorder="1" applyAlignment="1">
      <alignment horizontal="center" vertical="center" wrapText="1"/>
    </xf>
    <xf numFmtId="3" fontId="7" fillId="5" borderId="9" xfId="0" applyNumberFormat="1" applyFont="1" applyFill="1" applyBorder="1" applyAlignment="1">
      <alignment horizontal="center" vertical="center" wrapText="1"/>
    </xf>
    <xf numFmtId="3" fontId="7" fillId="5" borderId="12"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3" fontId="7" fillId="2" borderId="2" xfId="0" applyNumberFormat="1" applyFont="1" applyFill="1" applyBorder="1" applyAlignment="1">
      <alignment horizontal="center" vertical="center" wrapText="1"/>
    </xf>
    <xf numFmtId="3" fontId="7" fillId="2" borderId="9" xfId="0" applyNumberFormat="1" applyFont="1" applyFill="1" applyBorder="1" applyAlignment="1">
      <alignment horizontal="center" vertical="center" wrapText="1"/>
    </xf>
    <xf numFmtId="3" fontId="7" fillId="2" borderId="1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1"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11" fillId="0" borderId="6" xfId="0" applyFont="1" applyBorder="1" applyAlignment="1">
      <alignment horizontal="center" vertical="center" wrapText="1"/>
    </xf>
    <xf numFmtId="3" fontId="7" fillId="0" borderId="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3" fontId="7" fillId="2" borderId="7" xfId="0" applyNumberFormat="1" applyFont="1" applyFill="1" applyBorder="1" applyAlignment="1">
      <alignment horizontal="center" vertical="center" wrapText="1"/>
    </xf>
    <xf numFmtId="3" fontId="7" fillId="0" borderId="11"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7" fillId="0" borderId="4" xfId="0" applyFont="1" applyBorder="1" applyAlignment="1">
      <alignment horizontal="center" vertical="center" wrapText="1"/>
    </xf>
    <xf numFmtId="0" fontId="3" fillId="5" borderId="2" xfId="0" applyFont="1" applyFill="1" applyBorder="1" applyAlignment="1">
      <alignment horizontal="center" vertical="center"/>
    </xf>
    <xf numFmtId="0" fontId="3" fillId="5" borderId="12" xfId="0" applyFont="1" applyFill="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7" fillId="2" borderId="22"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3" fontId="7" fillId="2" borderId="7" xfId="0" applyNumberFormat="1" applyFont="1" applyFill="1" applyBorder="1" applyAlignment="1">
      <alignment horizontal="center" vertical="top"/>
    </xf>
    <xf numFmtId="3" fontId="7" fillId="2" borderId="9" xfId="0" applyNumberFormat="1" applyFont="1" applyFill="1" applyBorder="1" applyAlignment="1">
      <alignment horizontal="center" vertical="top"/>
    </xf>
    <xf numFmtId="3" fontId="7" fillId="2" borderId="4" xfId="0" applyNumberFormat="1" applyFont="1" applyFill="1" applyBorder="1" applyAlignment="1">
      <alignment horizontal="center" vertical="top"/>
    </xf>
    <xf numFmtId="3" fontId="7" fillId="2" borderId="12" xfId="0" applyNumberFormat="1" applyFont="1" applyFill="1" applyBorder="1" applyAlignment="1">
      <alignment horizontal="center" vertical="top"/>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3" fontId="7" fillId="2" borderId="2" xfId="0" applyNumberFormat="1" applyFont="1" applyFill="1" applyBorder="1" applyAlignment="1">
      <alignment horizontal="center" vertical="top"/>
    </xf>
    <xf numFmtId="3" fontId="7" fillId="2" borderId="28" xfId="0" applyNumberFormat="1" applyFont="1" applyFill="1" applyBorder="1" applyAlignment="1">
      <alignment horizontal="center" vertical="top"/>
    </xf>
    <xf numFmtId="3" fontId="7" fillId="2" borderId="26" xfId="0" applyNumberFormat="1" applyFont="1" applyFill="1" applyBorder="1" applyAlignment="1">
      <alignment horizontal="center" vertical="top"/>
    </xf>
    <xf numFmtId="3" fontId="7" fillId="2" borderId="27" xfId="0" applyNumberFormat="1" applyFont="1" applyFill="1" applyBorder="1" applyAlignment="1">
      <alignment horizontal="center" vertical="top"/>
    </xf>
    <xf numFmtId="3" fontId="7" fillId="2" borderId="9" xfId="0" applyNumberFormat="1"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1" xfId="0" applyNumberFormat="1" applyFont="1" applyFill="1" applyBorder="1" applyAlignment="1">
      <alignment horizontal="center" vertical="top"/>
    </xf>
    <xf numFmtId="3" fontId="7" fillId="2" borderId="11" xfId="0" applyNumberFormat="1" applyFont="1" applyFill="1" applyBorder="1" applyAlignment="1">
      <alignment horizontal="center" vertical="top"/>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3" fontId="7" fillId="2" borderId="7" xfId="0" applyNumberFormat="1" applyFont="1" applyFill="1" applyBorder="1" applyAlignment="1">
      <alignment horizontal="center" vertical="top" wrapText="1"/>
    </xf>
    <xf numFmtId="3" fontId="7" fillId="2" borderId="6" xfId="0" applyNumberFormat="1" applyFont="1" applyFill="1" applyBorder="1" applyAlignment="1">
      <alignment horizontal="center" vertical="top"/>
    </xf>
    <xf numFmtId="3" fontId="7" fillId="2" borderId="6" xfId="0" applyNumberFormat="1"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1" xfId="0" applyNumberFormat="1" applyFont="1" applyFill="1" applyBorder="1" applyAlignment="1">
      <alignment horizontal="center" vertical="top" wrapText="1"/>
    </xf>
    <xf numFmtId="0" fontId="11" fillId="2"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3" fontId="7" fillId="0" borderId="7" xfId="0" applyNumberFormat="1" applyFont="1" applyBorder="1" applyAlignment="1">
      <alignment horizontal="center" vertical="top"/>
    </xf>
    <xf numFmtId="3" fontId="7" fillId="0" borderId="9" xfId="0" applyNumberFormat="1" applyFont="1" applyBorder="1" applyAlignment="1">
      <alignment horizontal="center" vertical="top"/>
    </xf>
    <xf numFmtId="3" fontId="7" fillId="0" borderId="4" xfId="0" applyNumberFormat="1" applyFont="1" applyBorder="1" applyAlignment="1">
      <alignment horizontal="center" vertical="top"/>
    </xf>
    <xf numFmtId="49" fontId="7" fillId="2" borderId="5"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0" fontId="3" fillId="0" borderId="2" xfId="0" applyFont="1" applyBorder="1" applyAlignment="1">
      <alignment horizontal="center" vertical="top" wrapText="1"/>
    </xf>
    <xf numFmtId="0" fontId="3" fillId="0" borderId="9" xfId="0" applyFont="1" applyBorder="1" applyAlignment="1">
      <alignment horizontal="center" vertical="top" wrapText="1"/>
    </xf>
    <xf numFmtId="3" fontId="7" fillId="5" borderId="7" xfId="0" applyNumberFormat="1" applyFont="1" applyFill="1" applyBorder="1" applyAlignment="1">
      <alignment horizontal="center" vertical="top"/>
    </xf>
    <xf numFmtId="3" fontId="7" fillId="5" borderId="9" xfId="0" applyNumberFormat="1" applyFont="1" applyFill="1" applyBorder="1" applyAlignment="1">
      <alignment horizontal="center" vertical="top"/>
    </xf>
    <xf numFmtId="3" fontId="7" fillId="5" borderId="4" xfId="0" applyNumberFormat="1" applyFont="1" applyFill="1" applyBorder="1" applyAlignment="1">
      <alignment horizontal="center" vertical="top"/>
    </xf>
    <xf numFmtId="0" fontId="7" fillId="0" borderId="0" xfId="0" applyFont="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0" fillId="0" borderId="0" xfId="0" applyAlignment="1">
      <alignment horizontal="left" wrapText="1"/>
    </xf>
    <xf numFmtId="0" fontId="3" fillId="0" borderId="2" xfId="0" applyFont="1" applyBorder="1" applyAlignment="1">
      <alignment horizontal="center" vertical="top"/>
    </xf>
    <xf numFmtId="0" fontId="3" fillId="0" borderId="9" xfId="0" applyFont="1" applyBorder="1" applyAlignment="1">
      <alignment horizontal="center" vertical="top"/>
    </xf>
    <xf numFmtId="0" fontId="3" fillId="0" borderId="29" xfId="0" applyFont="1" applyBorder="1" applyAlignment="1">
      <alignment horizontal="center" vertical="top" wrapText="1"/>
    </xf>
    <xf numFmtId="0" fontId="3" fillId="0" borderId="1" xfId="0" applyFont="1" applyBorder="1" applyAlignment="1">
      <alignment horizontal="center" vertical="top"/>
    </xf>
    <xf numFmtId="0" fontId="3" fillId="0" borderId="0" xfId="0" applyFont="1" applyAlignment="1">
      <alignment horizontal="left" vertical="top" wrapText="1"/>
    </xf>
    <xf numFmtId="3" fontId="7" fillId="5" borderId="12" xfId="0" applyNumberFormat="1" applyFont="1" applyFill="1" applyBorder="1" applyAlignment="1">
      <alignment horizontal="center" vertical="top"/>
    </xf>
    <xf numFmtId="3" fontId="7" fillId="5" borderId="1" xfId="0" applyNumberFormat="1" applyFont="1" applyFill="1" applyBorder="1" applyAlignment="1">
      <alignment horizontal="center" vertical="top"/>
    </xf>
    <xf numFmtId="3" fontId="7" fillId="5" borderId="11" xfId="0" applyNumberFormat="1" applyFont="1" applyFill="1" applyBorder="1" applyAlignment="1">
      <alignment horizontal="center" vertical="top"/>
    </xf>
    <xf numFmtId="3" fontId="7" fillId="5" borderId="7" xfId="0" applyNumberFormat="1" applyFont="1" applyFill="1" applyBorder="1" applyAlignment="1">
      <alignment horizontal="center" vertical="top" wrapText="1"/>
    </xf>
    <xf numFmtId="3" fontId="7" fillId="5" borderId="9" xfId="0" applyNumberFormat="1" applyFont="1" applyFill="1" applyBorder="1" applyAlignment="1">
      <alignment horizontal="center" vertical="top" wrapText="1"/>
    </xf>
    <xf numFmtId="3" fontId="7" fillId="5" borderId="4" xfId="0" applyNumberFormat="1" applyFont="1" applyFill="1" applyBorder="1" applyAlignment="1">
      <alignment horizontal="center" vertical="top" wrapText="1"/>
    </xf>
    <xf numFmtId="3" fontId="7" fillId="2" borderId="2" xfId="0" applyNumberFormat="1" applyFont="1" applyFill="1" applyBorder="1" applyAlignment="1">
      <alignment horizontal="center" vertical="top" wrapText="1"/>
    </xf>
  </cellXfs>
  <cellStyles count="5">
    <cellStyle name="Įprastas" xfId="0" builtinId="0"/>
    <cellStyle name="Įprastas 2" xfId="2"/>
    <cellStyle name="Kablelis [0]" xfId="1" builtinId="6"/>
    <cellStyle name="Kablelis 2" xfId="3"/>
    <cellStyle name="Normal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sfmis2014.finmin.lt/proj/faces/pages/contract2014/contractView.jspx?_afPfm=2bac992b"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95</xdr:row>
      <xdr:rowOff>0</xdr:rowOff>
    </xdr:from>
    <xdr:to>
      <xdr:col>10</xdr:col>
      <xdr:colOff>85725</xdr:colOff>
      <xdr:row>95</xdr:row>
      <xdr:rowOff>85725</xdr:rowOff>
    </xdr:to>
    <xdr:pic>
      <xdr:nvPicPr>
        <xdr:cNvPr id="2" name="Paveikslėlis 1" descr="Pasirinkite informacijai rodyti">
          <a:hlinkClick xmlns:r="http://schemas.openxmlformats.org/officeDocument/2006/relationships" r:id="rId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3" name="Paveikslėlis 2" descr="Pasirinkite informacijai rodyti">
          <a:hlinkClick xmlns:r="http://schemas.openxmlformats.org/officeDocument/2006/relationships" r:id="rId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4" name="Paveikslėlis 3" descr="Pasirinkite informacijai rodyti">
          <a:hlinkClick xmlns:r="http://schemas.openxmlformats.org/officeDocument/2006/relationships" r:id="rId1"/>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5" name="Paveikslėlis 4" descr="Pasirinkite informacijai rodyti">
          <a:hlinkClick xmlns:r="http://schemas.openxmlformats.org/officeDocument/2006/relationships" r:id="rId1"/>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6" name="Paveikslėlis 5" descr="Pasirinkite informacijai rodyti">
          <a:hlinkClick xmlns:r="http://schemas.openxmlformats.org/officeDocument/2006/relationships" r:id="rId1"/>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 name="Paveikslėlis 6" descr="Pasirinkite informacijai rodyti">
          <a:hlinkClick xmlns:r="http://schemas.openxmlformats.org/officeDocument/2006/relationships" r:id="rId1"/>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 name="Paveikslėlis 7" descr="Pasirinkite informacijai rodyti">
          <a:hlinkClick xmlns:r="http://schemas.openxmlformats.org/officeDocument/2006/relationships" r:id="rId1"/>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 name="Paveikslėlis 8" descr="Pasirinkite informacijai rodyti">
          <a:hlinkClick xmlns:r="http://schemas.openxmlformats.org/officeDocument/2006/relationships" r:id="rId1"/>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 name="Paveikslėlis 9" descr="Pasirinkite informacijai rodyti">
          <a:hlinkClick xmlns:r="http://schemas.openxmlformats.org/officeDocument/2006/relationships" r:id="rId1"/>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 name="Paveikslėlis 10" descr="Pasirinkite informacijai rodyti">
          <a:hlinkClick xmlns:r="http://schemas.openxmlformats.org/officeDocument/2006/relationships" r:id="rId1"/>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 name="Paveikslėlis 11" descr="Pasirinkite informacijai rodyti">
          <a:hlinkClick xmlns:r="http://schemas.openxmlformats.org/officeDocument/2006/relationships" r:id="rId1"/>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 name="Paveikslėlis 12" descr="Pasirinkite informacijai rodyti">
          <a:hlinkClick xmlns:r="http://schemas.openxmlformats.org/officeDocument/2006/relationships" r:id="rId1"/>
          <a:extLst>
            <a:ext uri="{FF2B5EF4-FFF2-40B4-BE49-F238E27FC236}">
              <a16:creationId xmlns=""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4" name="Paveikslėlis 13" descr="Pasirinkite informacijai rodyti">
          <a:hlinkClick xmlns:r="http://schemas.openxmlformats.org/officeDocument/2006/relationships" r:id="rId1"/>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5" name="Paveikslėlis 14" descr="Pasirinkite informacijai rodyti">
          <a:hlinkClick xmlns:r="http://schemas.openxmlformats.org/officeDocument/2006/relationships" r:id="rId1"/>
          <a:extLst>
            <a:ext uri="{FF2B5EF4-FFF2-40B4-BE49-F238E27FC236}">
              <a16:creationId xmlns=""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6" name="Paveikslėlis 15" descr="Pasirinkite informacijai rodyti">
          <a:hlinkClick xmlns:r="http://schemas.openxmlformats.org/officeDocument/2006/relationships" r:id="rId1"/>
          <a:extLst>
            <a:ext uri="{FF2B5EF4-FFF2-40B4-BE49-F238E27FC236}">
              <a16:creationId xmlns=""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7" name="Paveikslėlis 16" descr="Pasirinkite informacijai rodyti">
          <a:hlinkClick xmlns:r="http://schemas.openxmlformats.org/officeDocument/2006/relationships" r:id="rId1"/>
          <a:extLst>
            <a:ext uri="{FF2B5EF4-FFF2-40B4-BE49-F238E27FC236}">
              <a16:creationId xmlns=""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8" name="Paveikslėlis 17" descr="Pasirinkite informacijai rodyti">
          <a:hlinkClick xmlns:r="http://schemas.openxmlformats.org/officeDocument/2006/relationships" r:id="rId1"/>
          <a:extLst>
            <a:ext uri="{FF2B5EF4-FFF2-40B4-BE49-F238E27FC236}">
              <a16:creationId xmlns=""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9" name="Paveikslėlis 18" descr="Pasirinkite informacijai rodyti">
          <a:hlinkClick xmlns:r="http://schemas.openxmlformats.org/officeDocument/2006/relationships" r:id="rId1"/>
          <a:extLst>
            <a:ext uri="{FF2B5EF4-FFF2-40B4-BE49-F238E27FC236}">
              <a16:creationId xmlns=""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0" name="Paveikslėlis 19" descr="Pasirinkite informacijai rodyti">
          <a:hlinkClick xmlns:r="http://schemas.openxmlformats.org/officeDocument/2006/relationships" r:id="rId1"/>
          <a:extLst>
            <a:ext uri="{FF2B5EF4-FFF2-40B4-BE49-F238E27FC236}">
              <a16:creationId xmlns=""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1" name="Paveikslėlis 20" descr="Pasirinkite informacijai rodyti">
          <a:hlinkClick xmlns:r="http://schemas.openxmlformats.org/officeDocument/2006/relationships" r:id="rId1"/>
          <a:extLst>
            <a:ext uri="{FF2B5EF4-FFF2-40B4-BE49-F238E27FC236}">
              <a16:creationId xmlns=""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2" name="Paveikslėlis 21" descr="Pasirinkite informacijai rodyti">
          <a:hlinkClick xmlns:r="http://schemas.openxmlformats.org/officeDocument/2006/relationships" r:id="rId1"/>
          <a:extLst>
            <a:ext uri="{FF2B5EF4-FFF2-40B4-BE49-F238E27FC236}">
              <a16:creationId xmlns=""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3" name="Paveikslėlis 22" descr="Pasirinkite informacijai rodyti">
          <a:hlinkClick xmlns:r="http://schemas.openxmlformats.org/officeDocument/2006/relationships" r:id="rId1"/>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4" name="Paveikslėlis 23" descr="Pasirinkite informacijai rodyti">
          <a:hlinkClick xmlns:r="http://schemas.openxmlformats.org/officeDocument/2006/relationships" r:id="rId1"/>
          <a:extLst>
            <a:ext uri="{FF2B5EF4-FFF2-40B4-BE49-F238E27FC236}">
              <a16:creationId xmlns=""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5" name="Paveikslėlis 24" descr="Pasirinkite informacijai rodyti">
          <a:hlinkClick xmlns:r="http://schemas.openxmlformats.org/officeDocument/2006/relationships" r:id="rId1"/>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6" name="Paveikslėlis 25" descr="Pasirinkite informacijai rodyti">
          <a:hlinkClick xmlns:r="http://schemas.openxmlformats.org/officeDocument/2006/relationships" r:id="rId1"/>
          <a:extLst>
            <a:ext uri="{FF2B5EF4-FFF2-40B4-BE49-F238E27FC236}">
              <a16:creationId xmlns=""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7" name="Paveikslėlis 26" descr="Pasirinkite informacijai rodyti">
          <a:hlinkClick xmlns:r="http://schemas.openxmlformats.org/officeDocument/2006/relationships" r:id="rId1"/>
          <a:extLst>
            <a:ext uri="{FF2B5EF4-FFF2-40B4-BE49-F238E27FC236}">
              <a16:creationId xmlns=""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8" name="Paveikslėlis 27" descr="Pasirinkite informacijai rodyti">
          <a:hlinkClick xmlns:r="http://schemas.openxmlformats.org/officeDocument/2006/relationships" r:id="rId1"/>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9" name="Paveikslėlis 28" descr="Pasirinkite informacijai rodyti">
          <a:hlinkClick xmlns:r="http://schemas.openxmlformats.org/officeDocument/2006/relationships" r:id="rId1"/>
          <a:extLst>
            <a:ext uri="{FF2B5EF4-FFF2-40B4-BE49-F238E27FC236}">
              <a16:creationId xmlns=""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0" name="Paveikslėlis 29" descr="Pasirinkite informacijai rodyti">
          <a:hlinkClick xmlns:r="http://schemas.openxmlformats.org/officeDocument/2006/relationships" r:id="rId1"/>
          <a:extLst>
            <a:ext uri="{FF2B5EF4-FFF2-40B4-BE49-F238E27FC236}">
              <a16:creationId xmlns=""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1" name="Paveikslėlis 30" descr="Pasirinkite informacijai rodyti">
          <a:hlinkClick xmlns:r="http://schemas.openxmlformats.org/officeDocument/2006/relationships" r:id="rId1"/>
          <a:extLst>
            <a:ext uri="{FF2B5EF4-FFF2-40B4-BE49-F238E27FC236}">
              <a16:creationId xmlns=""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2" name="Paveikslėlis 31" descr="Pasirinkite informacijai rodyti">
          <a:hlinkClick xmlns:r="http://schemas.openxmlformats.org/officeDocument/2006/relationships" r:id="rId1"/>
          <a:extLst>
            <a:ext uri="{FF2B5EF4-FFF2-40B4-BE49-F238E27FC236}">
              <a16:creationId xmlns=""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3" name="Paveikslėlis 32" descr="Pasirinkite informacijai rodyti">
          <a:hlinkClick xmlns:r="http://schemas.openxmlformats.org/officeDocument/2006/relationships" r:id="rId1"/>
          <a:extLst>
            <a:ext uri="{FF2B5EF4-FFF2-40B4-BE49-F238E27FC236}">
              <a16:creationId xmlns=""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4" name="Paveikslėlis 33" descr="Pasirinkite informacijai rodyti">
          <a:hlinkClick xmlns:r="http://schemas.openxmlformats.org/officeDocument/2006/relationships" r:id="rId1"/>
          <a:extLst>
            <a:ext uri="{FF2B5EF4-FFF2-40B4-BE49-F238E27FC236}">
              <a16:creationId xmlns=""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5" name="Paveikslėlis 34" descr="Pasirinkite informacijai rodyti">
          <a:hlinkClick xmlns:r="http://schemas.openxmlformats.org/officeDocument/2006/relationships" r:id="rId1"/>
          <a:extLst>
            <a:ext uri="{FF2B5EF4-FFF2-40B4-BE49-F238E27FC236}">
              <a16:creationId xmlns=""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6" name="Paveikslėlis 35" descr="Pasirinkite informacijai rodyti">
          <a:extLst>
            <a:ext uri="{FF2B5EF4-FFF2-40B4-BE49-F238E27FC236}">
              <a16:creationId xmlns=""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95</xdr:row>
      <xdr:rowOff>0</xdr:rowOff>
    </xdr:from>
    <xdr:to>
      <xdr:col>10</xdr:col>
      <xdr:colOff>85725</xdr:colOff>
      <xdr:row>95</xdr:row>
      <xdr:rowOff>85725</xdr:rowOff>
    </xdr:to>
    <xdr:pic>
      <xdr:nvPicPr>
        <xdr:cNvPr id="37" name="Paveikslėlis 36" descr="Pasirinkite informacijai rodyti">
          <a:hlinkClick xmlns:r="http://schemas.openxmlformats.org/officeDocument/2006/relationships" r:id="rId1"/>
          <a:extLst>
            <a:ext uri="{FF2B5EF4-FFF2-40B4-BE49-F238E27FC236}">
              <a16:creationId xmlns=""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38" name="Paveikslėlis 37" descr="Pasirinkite informacijai rodyti">
          <a:hlinkClick xmlns:r="http://schemas.openxmlformats.org/officeDocument/2006/relationships" r:id="rId1"/>
          <a:extLst>
            <a:ext uri="{FF2B5EF4-FFF2-40B4-BE49-F238E27FC236}">
              <a16:creationId xmlns=""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39" name="Paveikslėlis 38" descr="Pasirinkite informacijai rodyti">
          <a:hlinkClick xmlns:r="http://schemas.openxmlformats.org/officeDocument/2006/relationships" r:id="rId1"/>
          <a:extLst>
            <a:ext uri="{FF2B5EF4-FFF2-40B4-BE49-F238E27FC236}">
              <a16:creationId xmlns=""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40" name="Paveikslėlis 39" descr="Pasirinkite informacijai rodyti">
          <a:hlinkClick xmlns:r="http://schemas.openxmlformats.org/officeDocument/2006/relationships" r:id="rId1"/>
          <a:extLst>
            <a:ext uri="{FF2B5EF4-FFF2-40B4-BE49-F238E27FC236}">
              <a16:creationId xmlns=""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41" name="Paveikslėlis 40" descr="Pasirinkite informacijai rodyti">
          <a:hlinkClick xmlns:r="http://schemas.openxmlformats.org/officeDocument/2006/relationships" r:id="rId1"/>
          <a:extLst>
            <a:ext uri="{FF2B5EF4-FFF2-40B4-BE49-F238E27FC236}">
              <a16:creationId xmlns=""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2" name="Paveikslėlis 41" descr="Pasirinkite informacijai rodyti">
          <a:hlinkClick xmlns:r="http://schemas.openxmlformats.org/officeDocument/2006/relationships" r:id="rId1"/>
          <a:extLst>
            <a:ext uri="{FF2B5EF4-FFF2-40B4-BE49-F238E27FC236}">
              <a16:creationId xmlns=""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3" name="Paveikslėlis 42" descr="Pasirinkite informacijai rodyti">
          <a:hlinkClick xmlns:r="http://schemas.openxmlformats.org/officeDocument/2006/relationships" r:id="rId1"/>
          <a:extLst>
            <a:ext uri="{FF2B5EF4-FFF2-40B4-BE49-F238E27FC236}">
              <a16:creationId xmlns=""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4" name="Paveikslėlis 43" descr="Pasirinkite informacijai rodyti">
          <a:hlinkClick xmlns:r="http://schemas.openxmlformats.org/officeDocument/2006/relationships" r:id="rId1"/>
          <a:extLst>
            <a:ext uri="{FF2B5EF4-FFF2-40B4-BE49-F238E27FC236}">
              <a16:creationId xmlns=""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5" name="Paveikslėlis 44" descr="Pasirinkite informacijai rodyti">
          <a:hlinkClick xmlns:r="http://schemas.openxmlformats.org/officeDocument/2006/relationships" r:id="rId1"/>
          <a:extLst>
            <a:ext uri="{FF2B5EF4-FFF2-40B4-BE49-F238E27FC236}">
              <a16:creationId xmlns=""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6" name="Paveikslėlis 45" descr="Pasirinkite informacijai rodyti">
          <a:hlinkClick xmlns:r="http://schemas.openxmlformats.org/officeDocument/2006/relationships" r:id="rId1"/>
          <a:extLst>
            <a:ext uri="{FF2B5EF4-FFF2-40B4-BE49-F238E27FC236}">
              <a16:creationId xmlns=""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7" name="Paveikslėlis 46" descr="Pasirinkite informacijai rodyti">
          <a:hlinkClick xmlns:r="http://schemas.openxmlformats.org/officeDocument/2006/relationships" r:id="rId1"/>
          <a:extLst>
            <a:ext uri="{FF2B5EF4-FFF2-40B4-BE49-F238E27FC236}">
              <a16:creationId xmlns=""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8" name="Paveikslėlis 47" descr="Pasirinkite informacijai rodyti">
          <a:hlinkClick xmlns:r="http://schemas.openxmlformats.org/officeDocument/2006/relationships" r:id="rId1"/>
          <a:extLst>
            <a:ext uri="{FF2B5EF4-FFF2-40B4-BE49-F238E27FC236}">
              <a16:creationId xmlns=""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9" name="Paveikslėlis 48" descr="Pasirinkite informacijai rodyti">
          <a:hlinkClick xmlns:r="http://schemas.openxmlformats.org/officeDocument/2006/relationships" r:id="rId1"/>
          <a:extLst>
            <a:ext uri="{FF2B5EF4-FFF2-40B4-BE49-F238E27FC236}">
              <a16:creationId xmlns=""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0" name="Paveikslėlis 49" descr="Pasirinkite informacijai rodyti">
          <a:hlinkClick xmlns:r="http://schemas.openxmlformats.org/officeDocument/2006/relationships" r:id="rId1"/>
          <a:extLst>
            <a:ext uri="{FF2B5EF4-FFF2-40B4-BE49-F238E27FC236}">
              <a16:creationId xmlns=""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1" name="Paveikslėlis 50" descr="Pasirinkite informacijai rodyti">
          <a:hlinkClick xmlns:r="http://schemas.openxmlformats.org/officeDocument/2006/relationships" r:id="rId1"/>
          <a:extLst>
            <a:ext uri="{FF2B5EF4-FFF2-40B4-BE49-F238E27FC236}">
              <a16:creationId xmlns=""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2" name="Paveikslėlis 51" descr="Pasirinkite informacijai rodyti">
          <a:hlinkClick xmlns:r="http://schemas.openxmlformats.org/officeDocument/2006/relationships" r:id="rId1"/>
          <a:extLst>
            <a:ext uri="{FF2B5EF4-FFF2-40B4-BE49-F238E27FC236}">
              <a16:creationId xmlns=""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3" name="Paveikslėlis 52" descr="Pasirinkite informacijai rodyti">
          <a:hlinkClick xmlns:r="http://schemas.openxmlformats.org/officeDocument/2006/relationships" r:id="rId1"/>
          <a:extLst>
            <a:ext uri="{FF2B5EF4-FFF2-40B4-BE49-F238E27FC236}">
              <a16:creationId xmlns=""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4" name="Paveikslėlis 53" descr="Pasirinkite informacijai rodyti">
          <a:hlinkClick xmlns:r="http://schemas.openxmlformats.org/officeDocument/2006/relationships" r:id="rId1"/>
          <a:extLst>
            <a:ext uri="{FF2B5EF4-FFF2-40B4-BE49-F238E27FC236}">
              <a16:creationId xmlns=""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5" name="Paveikslėlis 54" descr="Pasirinkite informacijai rodyti">
          <a:hlinkClick xmlns:r="http://schemas.openxmlformats.org/officeDocument/2006/relationships" r:id="rId1"/>
          <a:extLst>
            <a:ext uri="{FF2B5EF4-FFF2-40B4-BE49-F238E27FC236}">
              <a16:creationId xmlns=""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6" name="Paveikslėlis 55" descr="Pasirinkite informacijai rodyti">
          <a:hlinkClick xmlns:r="http://schemas.openxmlformats.org/officeDocument/2006/relationships" r:id="rId1"/>
          <a:extLst>
            <a:ext uri="{FF2B5EF4-FFF2-40B4-BE49-F238E27FC236}">
              <a16:creationId xmlns=""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7" name="Paveikslėlis 56" descr="Pasirinkite informacijai rodyti">
          <a:hlinkClick xmlns:r="http://schemas.openxmlformats.org/officeDocument/2006/relationships" r:id="rId1"/>
          <a:extLst>
            <a:ext uri="{FF2B5EF4-FFF2-40B4-BE49-F238E27FC236}">
              <a16:creationId xmlns=""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8" name="Paveikslėlis 57" descr="Pasirinkite informacijai rodyti">
          <a:hlinkClick xmlns:r="http://schemas.openxmlformats.org/officeDocument/2006/relationships" r:id="rId1"/>
          <a:extLst>
            <a:ext uri="{FF2B5EF4-FFF2-40B4-BE49-F238E27FC236}">
              <a16:creationId xmlns=""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9" name="Paveikslėlis 58" descr="Pasirinkite informacijai rodyti">
          <a:hlinkClick xmlns:r="http://schemas.openxmlformats.org/officeDocument/2006/relationships" r:id="rId1"/>
          <a:extLst>
            <a:ext uri="{FF2B5EF4-FFF2-40B4-BE49-F238E27FC236}">
              <a16:creationId xmlns=""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0" name="Paveikslėlis 59" descr="Pasirinkite informacijai rodyti">
          <a:hlinkClick xmlns:r="http://schemas.openxmlformats.org/officeDocument/2006/relationships" r:id="rId1"/>
          <a:extLst>
            <a:ext uri="{FF2B5EF4-FFF2-40B4-BE49-F238E27FC236}">
              <a16:creationId xmlns=""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1" name="Paveikslėlis 60" descr="Pasirinkite informacijai rodyti">
          <a:hlinkClick xmlns:r="http://schemas.openxmlformats.org/officeDocument/2006/relationships" r:id="rId1"/>
          <a:extLst>
            <a:ext uri="{FF2B5EF4-FFF2-40B4-BE49-F238E27FC236}">
              <a16:creationId xmlns=""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2" name="Paveikslėlis 61" descr="Pasirinkite informacijai rodyti">
          <a:hlinkClick xmlns:r="http://schemas.openxmlformats.org/officeDocument/2006/relationships" r:id="rId1"/>
          <a:extLst>
            <a:ext uri="{FF2B5EF4-FFF2-40B4-BE49-F238E27FC236}">
              <a16:creationId xmlns=""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3" name="Paveikslėlis 62" descr="Pasirinkite informacijai rodyti">
          <a:hlinkClick xmlns:r="http://schemas.openxmlformats.org/officeDocument/2006/relationships" r:id="rId1"/>
          <a:extLst>
            <a:ext uri="{FF2B5EF4-FFF2-40B4-BE49-F238E27FC236}">
              <a16:creationId xmlns=""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4" name="Paveikslėlis 63" descr="Pasirinkite informacijai rodyti">
          <a:hlinkClick xmlns:r="http://schemas.openxmlformats.org/officeDocument/2006/relationships" r:id="rId1"/>
          <a:extLst>
            <a:ext uri="{FF2B5EF4-FFF2-40B4-BE49-F238E27FC236}">
              <a16:creationId xmlns=""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5" name="Paveikslėlis 64" descr="Pasirinkite informacijai rodyti">
          <a:hlinkClick xmlns:r="http://schemas.openxmlformats.org/officeDocument/2006/relationships" r:id="rId1"/>
          <a:extLst>
            <a:ext uri="{FF2B5EF4-FFF2-40B4-BE49-F238E27FC236}">
              <a16:creationId xmlns=""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6" name="Paveikslėlis 65" descr="Pasirinkite informacijai rodyti">
          <a:hlinkClick xmlns:r="http://schemas.openxmlformats.org/officeDocument/2006/relationships" r:id="rId1"/>
          <a:extLst>
            <a:ext uri="{FF2B5EF4-FFF2-40B4-BE49-F238E27FC236}">
              <a16:creationId xmlns=""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7" name="Paveikslėlis 66" descr="Pasirinkite informacijai rodyti">
          <a:extLst>
            <a:ext uri="{FF2B5EF4-FFF2-40B4-BE49-F238E27FC236}">
              <a16:creationId xmlns=""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Y95"/>
  <sheetViews>
    <sheetView tabSelected="1" topLeftCell="A33" zoomScale="75" zoomScaleNormal="75" workbookViewId="0">
      <selection activeCell="C67" sqref="C67"/>
    </sheetView>
  </sheetViews>
  <sheetFormatPr defaultRowHeight="15" x14ac:dyDescent="0.25"/>
  <cols>
    <col min="1" max="1" width="23.140625" customWidth="1"/>
    <col min="2" max="2" width="36" customWidth="1"/>
    <col min="3" max="3" width="19.7109375" customWidth="1"/>
    <col min="4" max="4" width="21.7109375" customWidth="1"/>
    <col min="5" max="5" width="18.42578125" customWidth="1"/>
    <col min="6" max="6" width="17.28515625" customWidth="1"/>
    <col min="7" max="7" width="16.85546875" customWidth="1"/>
    <col min="8" max="8" width="16.5703125" customWidth="1"/>
    <col min="9" max="9" width="22.5703125" customWidth="1"/>
    <col min="10" max="10" width="13.7109375" customWidth="1"/>
    <col min="11" max="11" width="13.28515625" customWidth="1"/>
    <col min="12" max="12" width="15.7109375" style="1" customWidth="1"/>
    <col min="13" max="13" width="13" style="1" customWidth="1"/>
    <col min="14" max="14" width="13.85546875" style="1" customWidth="1"/>
    <col min="15" max="15" width="12.42578125" customWidth="1"/>
    <col min="16" max="16" width="13.7109375" style="2" customWidth="1"/>
    <col min="17" max="17" width="15.28515625" style="1" customWidth="1"/>
    <col min="18" max="18" width="87.85546875" customWidth="1"/>
    <col min="19" max="19" width="104.28515625" customWidth="1"/>
    <col min="20" max="20" width="9.140625" customWidth="1"/>
  </cols>
  <sheetData>
    <row r="1" spans="1:129" x14ac:dyDescent="0.25">
      <c r="A1" s="56" t="s">
        <v>317</v>
      </c>
      <c r="B1" s="56"/>
      <c r="C1" s="56"/>
      <c r="D1" s="56"/>
      <c r="E1" s="56"/>
      <c r="F1" s="56"/>
      <c r="L1"/>
      <c r="M1"/>
      <c r="N1"/>
      <c r="P1"/>
      <c r="Q1"/>
    </row>
    <row r="2" spans="1:129" x14ac:dyDescent="0.25">
      <c r="A2" t="s">
        <v>0</v>
      </c>
      <c r="L2"/>
      <c r="M2"/>
      <c r="N2"/>
      <c r="P2"/>
      <c r="Q2"/>
    </row>
    <row r="3" spans="1:129" ht="15" customHeight="1" x14ac:dyDescent="0.25">
      <c r="A3" s="194" t="s">
        <v>1</v>
      </c>
      <c r="B3" s="195" t="s">
        <v>2</v>
      </c>
      <c r="C3" s="195" t="s">
        <v>3</v>
      </c>
      <c r="D3" s="237" t="s">
        <v>4</v>
      </c>
      <c r="E3" s="237"/>
      <c r="F3" s="237"/>
      <c r="G3" s="237" t="s">
        <v>5</v>
      </c>
      <c r="H3" s="231" t="s">
        <v>6</v>
      </c>
      <c r="I3" s="231"/>
      <c r="J3" s="197" t="s">
        <v>7</v>
      </c>
      <c r="K3" s="220" t="s">
        <v>8</v>
      </c>
      <c r="L3" s="197" t="s">
        <v>9</v>
      </c>
      <c r="M3" s="197" t="s">
        <v>10</v>
      </c>
      <c r="N3" s="197"/>
      <c r="O3" s="197" t="s">
        <v>11</v>
      </c>
      <c r="P3" s="197" t="s">
        <v>12</v>
      </c>
      <c r="Q3" s="229" t="s">
        <v>13</v>
      </c>
      <c r="R3" s="231" t="s">
        <v>14</v>
      </c>
      <c r="S3" s="247" t="s">
        <v>384</v>
      </c>
    </row>
    <row r="4" spans="1:129" ht="30.75" thickBot="1" x14ac:dyDescent="0.3">
      <c r="A4" s="195"/>
      <c r="B4" s="196"/>
      <c r="C4" s="196"/>
      <c r="D4" s="124" t="s">
        <v>15</v>
      </c>
      <c r="E4" s="124" t="s">
        <v>16</v>
      </c>
      <c r="F4" s="124" t="s">
        <v>17</v>
      </c>
      <c r="G4" s="238"/>
      <c r="H4" s="121" t="s">
        <v>18</v>
      </c>
      <c r="I4" s="123" t="s">
        <v>19</v>
      </c>
      <c r="J4" s="198"/>
      <c r="K4" s="221"/>
      <c r="L4" s="198"/>
      <c r="M4" s="123" t="s">
        <v>20</v>
      </c>
      <c r="N4" s="123" t="s">
        <v>21</v>
      </c>
      <c r="O4" s="198"/>
      <c r="P4" s="198"/>
      <c r="Q4" s="230"/>
      <c r="R4" s="231"/>
      <c r="S4" s="248"/>
    </row>
    <row r="5" spans="1:129" ht="195" x14ac:dyDescent="0.25">
      <c r="A5" s="199" t="s">
        <v>242</v>
      </c>
      <c r="B5" s="202">
        <f>F5</f>
        <v>41621312</v>
      </c>
      <c r="C5" s="206">
        <v>20810656</v>
      </c>
      <c r="D5" s="241" t="s">
        <v>243</v>
      </c>
      <c r="E5" s="242">
        <f>C5</f>
        <v>20810656</v>
      </c>
      <c r="F5" s="242">
        <f>C5+E5</f>
        <v>41621312</v>
      </c>
      <c r="G5" s="242">
        <f>F5</f>
        <v>41621312</v>
      </c>
      <c r="H5" s="125" t="s">
        <v>22</v>
      </c>
      <c r="I5" s="125" t="s">
        <v>23</v>
      </c>
      <c r="J5" s="217" t="s">
        <v>24</v>
      </c>
      <c r="K5" s="192" t="s">
        <v>25</v>
      </c>
      <c r="L5" s="125" t="s">
        <v>313</v>
      </c>
      <c r="M5" s="126">
        <v>0</v>
      </c>
      <c r="N5" s="126" t="s">
        <v>27</v>
      </c>
      <c r="O5" s="78">
        <v>18</v>
      </c>
      <c r="P5" s="125">
        <v>180</v>
      </c>
      <c r="Q5" s="127" t="s">
        <v>28</v>
      </c>
      <c r="R5" s="8" t="s">
        <v>244</v>
      </c>
      <c r="S5" s="66"/>
    </row>
    <row r="6" spans="1:129" ht="180" x14ac:dyDescent="0.25">
      <c r="A6" s="232"/>
      <c r="B6" s="203"/>
      <c r="C6" s="207"/>
      <c r="D6" s="219"/>
      <c r="E6" s="223"/>
      <c r="F6" s="223"/>
      <c r="G6" s="223"/>
      <c r="H6" s="4" t="s">
        <v>29</v>
      </c>
      <c r="I6" s="4" t="s">
        <v>316</v>
      </c>
      <c r="J6" s="218"/>
      <c r="K6" s="190"/>
      <c r="L6" s="4" t="s">
        <v>312</v>
      </c>
      <c r="M6" s="32">
        <v>0</v>
      </c>
      <c r="N6" s="32" t="s">
        <v>27</v>
      </c>
      <c r="O6" s="65">
        <v>0</v>
      </c>
      <c r="P6" s="65">
        <v>10</v>
      </c>
      <c r="Q6" s="128" t="s">
        <v>28</v>
      </c>
      <c r="R6" s="8" t="s">
        <v>30</v>
      </c>
      <c r="S6" s="66"/>
    </row>
    <row r="7" spans="1:129" ht="165" x14ac:dyDescent="0.25">
      <c r="A7" s="200"/>
      <c r="B7" s="203"/>
      <c r="C7" s="207"/>
      <c r="D7" s="219"/>
      <c r="E7" s="223"/>
      <c r="F7" s="223"/>
      <c r="G7" s="223"/>
      <c r="H7" s="4" t="s">
        <v>31</v>
      </c>
      <c r="I7" s="4" t="s">
        <v>32</v>
      </c>
      <c r="J7" s="218"/>
      <c r="K7" s="190"/>
      <c r="L7" s="4" t="s">
        <v>33</v>
      </c>
      <c r="M7" s="32">
        <v>0</v>
      </c>
      <c r="N7" s="32" t="s">
        <v>27</v>
      </c>
      <c r="O7" s="129">
        <v>832426</v>
      </c>
      <c r="P7" s="130">
        <v>8324260</v>
      </c>
      <c r="Q7" s="128" t="s">
        <v>28</v>
      </c>
      <c r="R7" s="8" t="s">
        <v>245</v>
      </c>
      <c r="S7" s="66"/>
    </row>
    <row r="8" spans="1:129" ht="225" x14ac:dyDescent="0.25">
      <c r="A8" s="200"/>
      <c r="B8" s="203"/>
      <c r="C8" s="207"/>
      <c r="D8" s="219"/>
      <c r="E8" s="223"/>
      <c r="F8" s="223"/>
      <c r="G8" s="223"/>
      <c r="H8" s="4" t="s">
        <v>34</v>
      </c>
      <c r="I8" s="4" t="s">
        <v>35</v>
      </c>
      <c r="J8" s="218"/>
      <c r="K8" s="190"/>
      <c r="L8" s="4" t="s">
        <v>36</v>
      </c>
      <c r="M8" s="32">
        <v>0</v>
      </c>
      <c r="N8" s="32" t="s">
        <v>27</v>
      </c>
      <c r="O8" s="4">
        <v>7</v>
      </c>
      <c r="P8" s="131">
        <v>65</v>
      </c>
      <c r="Q8" s="128" t="s">
        <v>28</v>
      </c>
      <c r="R8" s="8" t="s">
        <v>246</v>
      </c>
      <c r="S8" s="66"/>
    </row>
    <row r="9" spans="1:129" ht="150" x14ac:dyDescent="0.25">
      <c r="A9" s="200"/>
      <c r="B9" s="203"/>
      <c r="C9" s="207"/>
      <c r="D9" s="219"/>
      <c r="E9" s="223"/>
      <c r="F9" s="223"/>
      <c r="G9" s="223"/>
      <c r="H9" s="4" t="s">
        <v>37</v>
      </c>
      <c r="I9" s="4" t="s">
        <v>38</v>
      </c>
      <c r="J9" s="218"/>
      <c r="K9" s="190"/>
      <c r="L9" s="4" t="s">
        <v>314</v>
      </c>
      <c r="M9" s="4">
        <v>0</v>
      </c>
      <c r="N9" s="32">
        <v>2021</v>
      </c>
      <c r="O9" s="65" t="s">
        <v>27</v>
      </c>
      <c r="P9" s="4">
        <v>65</v>
      </c>
      <c r="Q9" s="128" t="s">
        <v>28</v>
      </c>
      <c r="R9" s="8" t="s">
        <v>247</v>
      </c>
      <c r="S9" s="66"/>
    </row>
    <row r="10" spans="1:129" s="57" customFormat="1" ht="270.75" thickBot="1" x14ac:dyDescent="0.3">
      <c r="A10" s="200"/>
      <c r="B10" s="203"/>
      <c r="C10" s="208"/>
      <c r="D10" s="219"/>
      <c r="E10" s="224"/>
      <c r="F10" s="224"/>
      <c r="G10" s="224"/>
      <c r="H10" s="4" t="s">
        <v>39</v>
      </c>
      <c r="I10" s="4" t="s">
        <v>40</v>
      </c>
      <c r="J10" s="218"/>
      <c r="K10" s="190"/>
      <c r="L10" s="4" t="s">
        <v>41</v>
      </c>
      <c r="M10" s="32">
        <v>0</v>
      </c>
      <c r="N10" s="32">
        <v>2021</v>
      </c>
      <c r="O10" s="65" t="s">
        <v>27</v>
      </c>
      <c r="P10" s="4">
        <v>400</v>
      </c>
      <c r="Q10" s="128" t="s">
        <v>28</v>
      </c>
      <c r="R10" s="8" t="s">
        <v>248</v>
      </c>
      <c r="S10" s="66"/>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row>
    <row r="11" spans="1:129" ht="195" x14ac:dyDescent="0.25">
      <c r="A11" s="200"/>
      <c r="B11" s="203">
        <f>F11</f>
        <v>24096550</v>
      </c>
      <c r="C11" s="203">
        <v>12048275</v>
      </c>
      <c r="D11" s="236" t="s">
        <v>249</v>
      </c>
      <c r="E11" s="222">
        <f>C11</f>
        <v>12048275</v>
      </c>
      <c r="F11" s="204">
        <f>C11+E11</f>
        <v>24096550</v>
      </c>
      <c r="G11" s="204">
        <f>F11</f>
        <v>24096550</v>
      </c>
      <c r="H11" s="4" t="s">
        <v>22</v>
      </c>
      <c r="I11" s="4" t="s">
        <v>23</v>
      </c>
      <c r="J11" s="219"/>
      <c r="K11" s="190"/>
      <c r="L11" s="4" t="s">
        <v>313</v>
      </c>
      <c r="M11" s="32">
        <v>0</v>
      </c>
      <c r="N11" s="32" t="s">
        <v>27</v>
      </c>
      <c r="O11" s="72">
        <v>11</v>
      </c>
      <c r="P11" s="4">
        <v>105</v>
      </c>
      <c r="Q11" s="128" t="s">
        <v>28</v>
      </c>
      <c r="R11" s="8" t="s">
        <v>250</v>
      </c>
      <c r="S11" s="66"/>
    </row>
    <row r="12" spans="1:129" ht="195" x14ac:dyDescent="0.25">
      <c r="A12" s="200"/>
      <c r="B12" s="203"/>
      <c r="C12" s="203"/>
      <c r="D12" s="219"/>
      <c r="E12" s="223"/>
      <c r="F12" s="204"/>
      <c r="G12" s="204"/>
      <c r="H12" s="4" t="s">
        <v>29</v>
      </c>
      <c r="I12" s="4" t="s">
        <v>316</v>
      </c>
      <c r="J12" s="219"/>
      <c r="K12" s="190"/>
      <c r="L12" s="4" t="s">
        <v>312</v>
      </c>
      <c r="M12" s="32">
        <v>0</v>
      </c>
      <c r="N12" s="32" t="s">
        <v>27</v>
      </c>
      <c r="O12" s="65">
        <v>0</v>
      </c>
      <c r="P12" s="65">
        <v>5</v>
      </c>
      <c r="Q12" s="128" t="s">
        <v>28</v>
      </c>
      <c r="R12" s="8" t="s">
        <v>42</v>
      </c>
      <c r="S12" s="66"/>
    </row>
    <row r="13" spans="1:129" ht="165" x14ac:dyDescent="0.25">
      <c r="A13" s="200"/>
      <c r="B13" s="203"/>
      <c r="C13" s="203"/>
      <c r="D13" s="219"/>
      <c r="E13" s="223"/>
      <c r="F13" s="204"/>
      <c r="G13" s="204"/>
      <c r="H13" s="4" t="s">
        <v>31</v>
      </c>
      <c r="I13" s="4" t="s">
        <v>32</v>
      </c>
      <c r="J13" s="219"/>
      <c r="K13" s="190"/>
      <c r="L13" s="4" t="s">
        <v>33</v>
      </c>
      <c r="M13" s="32">
        <v>0</v>
      </c>
      <c r="N13" s="32" t="s">
        <v>27</v>
      </c>
      <c r="O13" s="129">
        <v>481931</v>
      </c>
      <c r="P13" s="130">
        <v>4819310</v>
      </c>
      <c r="Q13" s="128" t="s">
        <v>28</v>
      </c>
      <c r="R13" s="8" t="s">
        <v>251</v>
      </c>
      <c r="S13" s="66"/>
    </row>
    <row r="14" spans="1:129" ht="225" x14ac:dyDescent="0.25">
      <c r="A14" s="200"/>
      <c r="B14" s="203"/>
      <c r="C14" s="203"/>
      <c r="D14" s="219"/>
      <c r="E14" s="223"/>
      <c r="F14" s="204"/>
      <c r="G14" s="204"/>
      <c r="H14" s="4" t="s">
        <v>34</v>
      </c>
      <c r="I14" s="4" t="s">
        <v>35</v>
      </c>
      <c r="J14" s="219"/>
      <c r="K14" s="190"/>
      <c r="L14" s="4" t="s">
        <v>36</v>
      </c>
      <c r="M14" s="32">
        <v>0</v>
      </c>
      <c r="N14" s="32" t="s">
        <v>27</v>
      </c>
      <c r="O14" s="4">
        <v>4</v>
      </c>
      <c r="P14" s="131">
        <v>40</v>
      </c>
      <c r="Q14" s="128" t="s">
        <v>28</v>
      </c>
      <c r="R14" s="8" t="s">
        <v>252</v>
      </c>
      <c r="S14" s="66"/>
    </row>
    <row r="15" spans="1:129" ht="150" x14ac:dyDescent="0.25">
      <c r="A15" s="200"/>
      <c r="B15" s="203"/>
      <c r="C15" s="203"/>
      <c r="D15" s="219"/>
      <c r="E15" s="223"/>
      <c r="F15" s="204"/>
      <c r="G15" s="204"/>
      <c r="H15" s="4" t="s">
        <v>37</v>
      </c>
      <c r="I15" s="4" t="s">
        <v>38</v>
      </c>
      <c r="J15" s="219"/>
      <c r="K15" s="190"/>
      <c r="L15" s="4" t="s">
        <v>314</v>
      </c>
      <c r="M15" s="4">
        <v>0</v>
      </c>
      <c r="N15" s="32">
        <v>2021</v>
      </c>
      <c r="O15" s="65" t="s">
        <v>27</v>
      </c>
      <c r="P15" s="4">
        <v>40</v>
      </c>
      <c r="Q15" s="128" t="s">
        <v>28</v>
      </c>
      <c r="R15" s="90" t="s">
        <v>253</v>
      </c>
      <c r="S15" s="66"/>
    </row>
    <row r="16" spans="1:129" ht="270" x14ac:dyDescent="0.25">
      <c r="A16" s="200"/>
      <c r="B16" s="203"/>
      <c r="C16" s="203"/>
      <c r="D16" s="219"/>
      <c r="E16" s="224"/>
      <c r="F16" s="204"/>
      <c r="G16" s="204"/>
      <c r="H16" s="4" t="s">
        <v>39</v>
      </c>
      <c r="I16" s="4" t="s">
        <v>40</v>
      </c>
      <c r="J16" s="219"/>
      <c r="K16" s="193"/>
      <c r="L16" s="4" t="s">
        <v>41</v>
      </c>
      <c r="M16" s="32">
        <v>0</v>
      </c>
      <c r="N16" s="32">
        <v>2021</v>
      </c>
      <c r="O16" s="65" t="s">
        <v>27</v>
      </c>
      <c r="P16" s="4">
        <v>235</v>
      </c>
      <c r="Q16" s="128" t="s">
        <v>28</v>
      </c>
      <c r="R16" s="8" t="s">
        <v>254</v>
      </c>
      <c r="S16" s="66"/>
    </row>
    <row r="17" spans="1:19" ht="195" x14ac:dyDescent="0.25">
      <c r="A17" s="200"/>
      <c r="B17" s="203">
        <f>F17</f>
        <v>16806105</v>
      </c>
      <c r="C17" s="235">
        <v>16806105</v>
      </c>
      <c r="D17" s="219" t="s">
        <v>243</v>
      </c>
      <c r="E17" s="204">
        <v>0</v>
      </c>
      <c r="F17" s="204">
        <f>C17+E17</f>
        <v>16806105</v>
      </c>
      <c r="G17" s="204">
        <f>F17</f>
        <v>16806105</v>
      </c>
      <c r="H17" s="4" t="s">
        <v>22</v>
      </c>
      <c r="I17" s="4" t="s">
        <v>23</v>
      </c>
      <c r="J17" s="218" t="s">
        <v>255</v>
      </c>
      <c r="K17" s="189" t="s">
        <v>25</v>
      </c>
      <c r="L17" s="4" t="s">
        <v>313</v>
      </c>
      <c r="M17" s="32">
        <v>0</v>
      </c>
      <c r="N17" s="32" t="s">
        <v>27</v>
      </c>
      <c r="O17" s="72">
        <v>29</v>
      </c>
      <c r="P17" s="4">
        <v>290</v>
      </c>
      <c r="Q17" s="128" t="s">
        <v>28</v>
      </c>
      <c r="R17" s="8" t="s">
        <v>256</v>
      </c>
      <c r="S17" s="66"/>
    </row>
    <row r="18" spans="1:19" ht="195" x14ac:dyDescent="0.25">
      <c r="A18" s="200"/>
      <c r="B18" s="203"/>
      <c r="C18" s="207"/>
      <c r="D18" s="219"/>
      <c r="E18" s="204"/>
      <c r="F18" s="204"/>
      <c r="G18" s="204"/>
      <c r="H18" s="4" t="s">
        <v>29</v>
      </c>
      <c r="I18" s="4" t="s">
        <v>316</v>
      </c>
      <c r="J18" s="218"/>
      <c r="K18" s="190"/>
      <c r="L18" s="4" t="s">
        <v>312</v>
      </c>
      <c r="M18" s="32">
        <v>0</v>
      </c>
      <c r="N18" s="32" t="s">
        <v>27</v>
      </c>
      <c r="O18" s="65">
        <v>0</v>
      </c>
      <c r="P18" s="65">
        <v>3</v>
      </c>
      <c r="Q18" s="128" t="s">
        <v>28</v>
      </c>
      <c r="R18" s="8" t="s">
        <v>257</v>
      </c>
      <c r="S18" s="66"/>
    </row>
    <row r="19" spans="1:19" ht="165" x14ac:dyDescent="0.25">
      <c r="A19" s="200"/>
      <c r="B19" s="203"/>
      <c r="C19" s="207"/>
      <c r="D19" s="219"/>
      <c r="E19" s="204"/>
      <c r="F19" s="204"/>
      <c r="G19" s="204"/>
      <c r="H19" s="4" t="s">
        <v>31</v>
      </c>
      <c r="I19" s="4" t="s">
        <v>32</v>
      </c>
      <c r="J19" s="218"/>
      <c r="K19" s="190"/>
      <c r="L19" s="4" t="s">
        <v>33</v>
      </c>
      <c r="M19" s="32">
        <v>0</v>
      </c>
      <c r="N19" s="32" t="s">
        <v>27</v>
      </c>
      <c r="O19" s="129">
        <v>336122</v>
      </c>
      <c r="P19" s="130">
        <v>3361220</v>
      </c>
      <c r="Q19" s="128" t="s">
        <v>28</v>
      </c>
      <c r="R19" s="8" t="s">
        <v>258</v>
      </c>
      <c r="S19" s="66"/>
    </row>
    <row r="20" spans="1:19" ht="225" x14ac:dyDescent="0.25">
      <c r="A20" s="200"/>
      <c r="B20" s="203"/>
      <c r="C20" s="207"/>
      <c r="D20" s="219"/>
      <c r="E20" s="204"/>
      <c r="F20" s="204"/>
      <c r="G20" s="204"/>
      <c r="H20" s="4" t="s">
        <v>34</v>
      </c>
      <c r="I20" s="4" t="s">
        <v>35</v>
      </c>
      <c r="J20" s="218"/>
      <c r="K20" s="190"/>
      <c r="L20" s="4" t="s">
        <v>36</v>
      </c>
      <c r="M20" s="32">
        <v>0</v>
      </c>
      <c r="N20" s="32" t="s">
        <v>27</v>
      </c>
      <c r="O20" s="65">
        <v>3</v>
      </c>
      <c r="P20" s="131">
        <v>30</v>
      </c>
      <c r="Q20" s="128" t="s">
        <v>28</v>
      </c>
      <c r="R20" s="8" t="s">
        <v>259</v>
      </c>
      <c r="S20" s="66"/>
    </row>
    <row r="21" spans="1:19" ht="135" x14ac:dyDescent="0.25">
      <c r="A21" s="200"/>
      <c r="B21" s="203"/>
      <c r="C21" s="207"/>
      <c r="D21" s="219"/>
      <c r="E21" s="204"/>
      <c r="F21" s="204"/>
      <c r="G21" s="204"/>
      <c r="H21" s="4" t="s">
        <v>37</v>
      </c>
      <c r="I21" s="4" t="s">
        <v>38</v>
      </c>
      <c r="J21" s="218"/>
      <c r="K21" s="190"/>
      <c r="L21" s="4" t="s">
        <v>314</v>
      </c>
      <c r="M21" s="32">
        <v>0</v>
      </c>
      <c r="N21" s="32">
        <v>2021</v>
      </c>
      <c r="O21" s="65" t="s">
        <v>27</v>
      </c>
      <c r="P21" s="4">
        <v>30</v>
      </c>
      <c r="Q21" s="128" t="s">
        <v>28</v>
      </c>
      <c r="R21" s="8" t="s">
        <v>260</v>
      </c>
      <c r="S21" s="66"/>
    </row>
    <row r="22" spans="1:19" ht="300" x14ac:dyDescent="0.25">
      <c r="A22" s="200"/>
      <c r="B22" s="203"/>
      <c r="C22" s="208"/>
      <c r="D22" s="219"/>
      <c r="E22" s="204"/>
      <c r="F22" s="204"/>
      <c r="G22" s="204"/>
      <c r="H22" s="4" t="s">
        <v>39</v>
      </c>
      <c r="I22" s="4" t="s">
        <v>40</v>
      </c>
      <c r="J22" s="218"/>
      <c r="K22" s="190"/>
      <c r="L22" s="4" t="s">
        <v>315</v>
      </c>
      <c r="M22" s="32">
        <v>0</v>
      </c>
      <c r="N22" s="32">
        <v>2021</v>
      </c>
      <c r="O22" s="65" t="s">
        <v>27</v>
      </c>
      <c r="P22" s="4">
        <v>165</v>
      </c>
      <c r="Q22" s="128" t="s">
        <v>28</v>
      </c>
      <c r="R22" s="8" t="s">
        <v>261</v>
      </c>
      <c r="S22" s="66"/>
    </row>
    <row r="23" spans="1:19" ht="195" customHeight="1" x14ac:dyDescent="0.25">
      <c r="A23" s="232"/>
      <c r="B23" s="203">
        <f>F23</f>
        <v>9729851</v>
      </c>
      <c r="C23" s="235">
        <v>9729851</v>
      </c>
      <c r="D23" s="245" t="s">
        <v>262</v>
      </c>
      <c r="E23" s="204">
        <v>0</v>
      </c>
      <c r="F23" s="204">
        <f>C23+E23</f>
        <v>9729851</v>
      </c>
      <c r="G23" s="204">
        <f>F23</f>
        <v>9729851</v>
      </c>
      <c r="H23" s="4" t="s">
        <v>22</v>
      </c>
      <c r="I23" s="4" t="s">
        <v>23</v>
      </c>
      <c r="J23" s="219"/>
      <c r="K23" s="190"/>
      <c r="L23" s="4" t="s">
        <v>313</v>
      </c>
      <c r="M23" s="32">
        <v>0</v>
      </c>
      <c r="N23" s="32" t="s">
        <v>27</v>
      </c>
      <c r="O23" s="72">
        <v>17</v>
      </c>
      <c r="P23" s="4">
        <v>170</v>
      </c>
      <c r="Q23" s="128" t="s">
        <v>28</v>
      </c>
      <c r="R23" s="8" t="s">
        <v>263</v>
      </c>
      <c r="S23" s="66"/>
    </row>
    <row r="24" spans="1:19" ht="195" x14ac:dyDescent="0.25">
      <c r="A24" s="232"/>
      <c r="B24" s="203"/>
      <c r="C24" s="207"/>
      <c r="D24" s="227"/>
      <c r="E24" s="204"/>
      <c r="F24" s="204"/>
      <c r="G24" s="204"/>
      <c r="H24" s="4" t="s">
        <v>29</v>
      </c>
      <c r="I24" s="4" t="s">
        <v>316</v>
      </c>
      <c r="J24" s="219"/>
      <c r="K24" s="190"/>
      <c r="L24" s="4" t="s">
        <v>312</v>
      </c>
      <c r="M24" s="32">
        <v>0</v>
      </c>
      <c r="N24" s="32" t="s">
        <v>27</v>
      </c>
      <c r="O24" s="65">
        <v>0</v>
      </c>
      <c r="P24" s="65">
        <v>2</v>
      </c>
      <c r="Q24" s="128" t="s">
        <v>28</v>
      </c>
      <c r="R24" s="8" t="s">
        <v>264</v>
      </c>
      <c r="S24" s="66"/>
    </row>
    <row r="25" spans="1:19" ht="165" x14ac:dyDescent="0.25">
      <c r="A25" s="232"/>
      <c r="B25" s="203"/>
      <c r="C25" s="207"/>
      <c r="D25" s="227"/>
      <c r="E25" s="204"/>
      <c r="F25" s="204"/>
      <c r="G25" s="204"/>
      <c r="H25" s="4" t="s">
        <v>31</v>
      </c>
      <c r="I25" s="4" t="s">
        <v>32</v>
      </c>
      <c r="J25" s="219"/>
      <c r="K25" s="190"/>
      <c r="L25" s="4" t="s">
        <v>33</v>
      </c>
      <c r="M25" s="32">
        <v>0</v>
      </c>
      <c r="N25" s="32" t="s">
        <v>27</v>
      </c>
      <c r="O25" s="129">
        <v>194597</v>
      </c>
      <c r="P25" s="130">
        <v>1945970</v>
      </c>
      <c r="Q25" s="128" t="s">
        <v>28</v>
      </c>
      <c r="R25" s="8" t="s">
        <v>265</v>
      </c>
      <c r="S25" s="66"/>
    </row>
    <row r="26" spans="1:19" ht="225" x14ac:dyDescent="0.25">
      <c r="A26" s="232"/>
      <c r="B26" s="203"/>
      <c r="C26" s="207"/>
      <c r="D26" s="227"/>
      <c r="E26" s="204"/>
      <c r="F26" s="204"/>
      <c r="G26" s="204"/>
      <c r="H26" s="4" t="s">
        <v>34</v>
      </c>
      <c r="I26" s="4" t="s">
        <v>35</v>
      </c>
      <c r="J26" s="219"/>
      <c r="K26" s="190"/>
      <c r="L26" s="4" t="s">
        <v>36</v>
      </c>
      <c r="M26" s="32">
        <v>0</v>
      </c>
      <c r="N26" s="32" t="s">
        <v>27</v>
      </c>
      <c r="O26" s="65">
        <v>2</v>
      </c>
      <c r="P26" s="131">
        <v>15</v>
      </c>
      <c r="Q26" s="128" t="s">
        <v>28</v>
      </c>
      <c r="R26" s="90" t="s">
        <v>266</v>
      </c>
      <c r="S26" s="66"/>
    </row>
    <row r="27" spans="1:19" ht="135" x14ac:dyDescent="0.25">
      <c r="A27" s="232"/>
      <c r="B27" s="203"/>
      <c r="C27" s="207"/>
      <c r="D27" s="227"/>
      <c r="E27" s="204"/>
      <c r="F27" s="204"/>
      <c r="G27" s="204"/>
      <c r="H27" s="4" t="s">
        <v>37</v>
      </c>
      <c r="I27" s="4" t="s">
        <v>38</v>
      </c>
      <c r="J27" s="219"/>
      <c r="K27" s="190"/>
      <c r="L27" s="4" t="s">
        <v>314</v>
      </c>
      <c r="M27" s="32">
        <v>0</v>
      </c>
      <c r="N27" s="32">
        <v>2021</v>
      </c>
      <c r="O27" s="65" t="s">
        <v>27</v>
      </c>
      <c r="P27" s="4">
        <v>15</v>
      </c>
      <c r="Q27" s="128" t="s">
        <v>28</v>
      </c>
      <c r="R27" s="90" t="s">
        <v>267</v>
      </c>
      <c r="S27" s="66"/>
    </row>
    <row r="28" spans="1:19" ht="300.75" thickBot="1" x14ac:dyDescent="0.3">
      <c r="A28" s="240"/>
      <c r="B28" s="243"/>
      <c r="C28" s="244"/>
      <c r="D28" s="246"/>
      <c r="E28" s="205"/>
      <c r="F28" s="205"/>
      <c r="G28" s="205"/>
      <c r="H28" s="132" t="s">
        <v>39</v>
      </c>
      <c r="I28" s="132" t="s">
        <v>40</v>
      </c>
      <c r="J28" s="228"/>
      <c r="K28" s="191"/>
      <c r="L28" s="132" t="s">
        <v>315</v>
      </c>
      <c r="M28" s="133">
        <v>0</v>
      </c>
      <c r="N28" s="133">
        <v>2021</v>
      </c>
      <c r="O28" s="81" t="s">
        <v>27</v>
      </c>
      <c r="P28" s="132">
        <v>95</v>
      </c>
      <c r="Q28" s="134" t="s">
        <v>28</v>
      </c>
      <c r="R28" s="8" t="s">
        <v>268</v>
      </c>
      <c r="S28" s="66"/>
    </row>
    <row r="29" spans="1:19" ht="210" x14ac:dyDescent="0.25">
      <c r="A29" s="199" t="s">
        <v>269</v>
      </c>
      <c r="B29" s="206">
        <f>F29</f>
        <v>34380669</v>
      </c>
      <c r="C29" s="214">
        <f>17732292-5374395</f>
        <v>12357897</v>
      </c>
      <c r="D29" s="234" t="s">
        <v>270</v>
      </c>
      <c r="E29" s="212">
        <f>C29+9664875</f>
        <v>22022772</v>
      </c>
      <c r="F29" s="212">
        <f>C29+E29</f>
        <v>34380669</v>
      </c>
      <c r="G29" s="214">
        <f>F29</f>
        <v>34380669</v>
      </c>
      <c r="H29" s="173" t="s">
        <v>22</v>
      </c>
      <c r="I29" s="173" t="s">
        <v>23</v>
      </c>
      <c r="J29" s="217" t="s">
        <v>24</v>
      </c>
      <c r="K29" s="192" t="s">
        <v>44</v>
      </c>
      <c r="L29" s="125" t="s">
        <v>313</v>
      </c>
      <c r="M29" s="126">
        <v>0</v>
      </c>
      <c r="N29" s="126" t="s">
        <v>27</v>
      </c>
      <c r="O29" s="173">
        <v>15</v>
      </c>
      <c r="P29" s="180">
        <v>150</v>
      </c>
      <c r="Q29" s="127" t="s">
        <v>28</v>
      </c>
      <c r="R29" s="8" t="s">
        <v>271</v>
      </c>
      <c r="S29" s="169" t="s">
        <v>382</v>
      </c>
    </row>
    <row r="30" spans="1:19" ht="165" x14ac:dyDescent="0.25">
      <c r="A30" s="200"/>
      <c r="B30" s="207"/>
      <c r="C30" s="215"/>
      <c r="D30" s="219"/>
      <c r="E30" s="213"/>
      <c r="F30" s="213"/>
      <c r="G30" s="215"/>
      <c r="H30" s="175" t="s">
        <v>31</v>
      </c>
      <c r="I30" s="175" t="s">
        <v>32</v>
      </c>
      <c r="J30" s="218"/>
      <c r="K30" s="190"/>
      <c r="L30" s="4" t="s">
        <v>33</v>
      </c>
      <c r="M30" s="32">
        <v>0</v>
      </c>
      <c r="N30" s="32" t="s">
        <v>27</v>
      </c>
      <c r="O30" s="181">
        <v>687613</v>
      </c>
      <c r="P30" s="181">
        <v>6876130</v>
      </c>
      <c r="Q30" s="128" t="s">
        <v>28</v>
      </c>
      <c r="R30" s="90" t="s">
        <v>272</v>
      </c>
      <c r="S30" s="170" t="s">
        <v>381</v>
      </c>
    </row>
    <row r="31" spans="1:19" ht="225" x14ac:dyDescent="0.25">
      <c r="A31" s="200"/>
      <c r="B31" s="207"/>
      <c r="C31" s="215"/>
      <c r="D31" s="219"/>
      <c r="E31" s="213"/>
      <c r="F31" s="213"/>
      <c r="G31" s="215"/>
      <c r="H31" s="4" t="s">
        <v>37</v>
      </c>
      <c r="I31" s="4" t="s">
        <v>38</v>
      </c>
      <c r="J31" s="218"/>
      <c r="K31" s="190"/>
      <c r="L31" s="4" t="s">
        <v>314</v>
      </c>
      <c r="M31" s="32">
        <v>0</v>
      </c>
      <c r="N31" s="32">
        <v>2021</v>
      </c>
      <c r="O31" s="65" t="s">
        <v>27</v>
      </c>
      <c r="P31" s="130">
        <v>15</v>
      </c>
      <c r="Q31" s="128" t="s">
        <v>28</v>
      </c>
      <c r="R31" s="90" t="s">
        <v>273</v>
      </c>
      <c r="S31" s="66"/>
    </row>
    <row r="32" spans="1:19" ht="165" x14ac:dyDescent="0.25">
      <c r="A32" s="200"/>
      <c r="B32" s="207"/>
      <c r="C32" s="215"/>
      <c r="D32" s="219"/>
      <c r="E32" s="213"/>
      <c r="F32" s="213"/>
      <c r="G32" s="215"/>
      <c r="H32" s="65" t="s">
        <v>45</v>
      </c>
      <c r="I32" s="65" t="s">
        <v>46</v>
      </c>
      <c r="J32" s="218"/>
      <c r="K32" s="190"/>
      <c r="L32" s="4" t="s">
        <v>47</v>
      </c>
      <c r="M32" s="32">
        <v>0</v>
      </c>
      <c r="N32" s="32">
        <v>2021</v>
      </c>
      <c r="O32" s="65" t="s">
        <v>27</v>
      </c>
      <c r="P32" s="130">
        <v>22</v>
      </c>
      <c r="Q32" s="128" t="s">
        <v>28</v>
      </c>
      <c r="R32" s="90" t="s">
        <v>274</v>
      </c>
      <c r="S32" s="66"/>
    </row>
    <row r="33" spans="1:19" ht="217.5" customHeight="1" x14ac:dyDescent="0.25">
      <c r="A33" s="200"/>
      <c r="B33" s="208"/>
      <c r="C33" s="216"/>
      <c r="D33" s="219"/>
      <c r="E33" s="213"/>
      <c r="F33" s="213"/>
      <c r="G33" s="216"/>
      <c r="H33" s="175" t="s">
        <v>39</v>
      </c>
      <c r="I33" s="175" t="s">
        <v>40</v>
      </c>
      <c r="J33" s="218"/>
      <c r="K33" s="190"/>
      <c r="L33" s="175" t="s">
        <v>315</v>
      </c>
      <c r="M33" s="174">
        <v>0</v>
      </c>
      <c r="N33" s="174">
        <v>2021</v>
      </c>
      <c r="O33" s="175" t="s">
        <v>27</v>
      </c>
      <c r="P33" s="181">
        <v>42</v>
      </c>
      <c r="Q33" s="128" t="s">
        <v>28</v>
      </c>
      <c r="R33" s="90" t="s">
        <v>275</v>
      </c>
      <c r="S33" s="170" t="s">
        <v>383</v>
      </c>
    </row>
    <row r="34" spans="1:19" ht="210" x14ac:dyDescent="0.25">
      <c r="A34" s="200"/>
      <c r="B34" s="203">
        <f>F34</f>
        <v>7294220</v>
      </c>
      <c r="C34" s="203">
        <v>3647110</v>
      </c>
      <c r="D34" s="219" t="s">
        <v>276</v>
      </c>
      <c r="E34" s="204">
        <f>C34</f>
        <v>3647110</v>
      </c>
      <c r="F34" s="204">
        <f>C34+E34</f>
        <v>7294220</v>
      </c>
      <c r="G34" s="222">
        <f>F34</f>
        <v>7294220</v>
      </c>
      <c r="H34" s="4" t="s">
        <v>22</v>
      </c>
      <c r="I34" s="4" t="s">
        <v>23</v>
      </c>
      <c r="J34" s="219"/>
      <c r="K34" s="190"/>
      <c r="L34" s="4" t="s">
        <v>313</v>
      </c>
      <c r="M34" s="32">
        <v>0</v>
      </c>
      <c r="N34" s="32" t="s">
        <v>27</v>
      </c>
      <c r="O34" s="65">
        <v>3</v>
      </c>
      <c r="P34" s="130">
        <v>30</v>
      </c>
      <c r="Q34" s="128" t="s">
        <v>28</v>
      </c>
      <c r="R34" s="90" t="s">
        <v>277</v>
      </c>
      <c r="S34" s="66"/>
    </row>
    <row r="35" spans="1:19" ht="165" x14ac:dyDescent="0.25">
      <c r="A35" s="200"/>
      <c r="B35" s="203"/>
      <c r="C35" s="203"/>
      <c r="D35" s="219"/>
      <c r="E35" s="204"/>
      <c r="F35" s="204"/>
      <c r="G35" s="223"/>
      <c r="H35" s="4" t="s">
        <v>31</v>
      </c>
      <c r="I35" s="4" t="s">
        <v>32</v>
      </c>
      <c r="J35" s="219"/>
      <c r="K35" s="190"/>
      <c r="L35" s="4" t="s">
        <v>33</v>
      </c>
      <c r="M35" s="32">
        <v>0</v>
      </c>
      <c r="N35" s="32" t="s">
        <v>27</v>
      </c>
      <c r="O35" s="129">
        <v>145884</v>
      </c>
      <c r="P35" s="130">
        <v>1458840</v>
      </c>
      <c r="Q35" s="128" t="s">
        <v>28</v>
      </c>
      <c r="R35" s="90" t="s">
        <v>278</v>
      </c>
      <c r="S35" s="66"/>
    </row>
    <row r="36" spans="1:19" ht="173.25" customHeight="1" x14ac:dyDescent="0.25">
      <c r="A36" s="200"/>
      <c r="B36" s="203"/>
      <c r="C36" s="203"/>
      <c r="D36" s="219"/>
      <c r="E36" s="204"/>
      <c r="F36" s="204"/>
      <c r="G36" s="223"/>
      <c r="H36" s="4" t="s">
        <v>37</v>
      </c>
      <c r="I36" s="4" t="s">
        <v>38</v>
      </c>
      <c r="J36" s="219"/>
      <c r="K36" s="190"/>
      <c r="L36" s="4" t="s">
        <v>314</v>
      </c>
      <c r="M36" s="32">
        <v>0</v>
      </c>
      <c r="N36" s="32">
        <v>2021</v>
      </c>
      <c r="O36" s="65" t="s">
        <v>27</v>
      </c>
      <c r="P36" s="130">
        <v>3</v>
      </c>
      <c r="Q36" s="128" t="s">
        <v>28</v>
      </c>
      <c r="R36" s="90" t="s">
        <v>279</v>
      </c>
      <c r="S36" s="66"/>
    </row>
    <row r="37" spans="1:19" ht="158.25" customHeight="1" x14ac:dyDescent="0.25">
      <c r="A37" s="200"/>
      <c r="B37" s="203"/>
      <c r="C37" s="203"/>
      <c r="D37" s="219"/>
      <c r="E37" s="204"/>
      <c r="F37" s="204"/>
      <c r="G37" s="223"/>
      <c r="H37" s="65" t="s">
        <v>45</v>
      </c>
      <c r="I37" s="65" t="s">
        <v>46</v>
      </c>
      <c r="J37" s="219"/>
      <c r="K37" s="190"/>
      <c r="L37" s="4" t="s">
        <v>47</v>
      </c>
      <c r="M37" s="32">
        <v>0</v>
      </c>
      <c r="N37" s="32">
        <v>2021</v>
      </c>
      <c r="O37" s="65" t="s">
        <v>27</v>
      </c>
      <c r="P37" s="130">
        <v>6</v>
      </c>
      <c r="Q37" s="128" t="s">
        <v>28</v>
      </c>
      <c r="R37" s="90" t="s">
        <v>280</v>
      </c>
      <c r="S37" s="66"/>
    </row>
    <row r="38" spans="1:19" ht="150" x14ac:dyDescent="0.25">
      <c r="A38" s="200"/>
      <c r="B38" s="203"/>
      <c r="C38" s="203"/>
      <c r="D38" s="219"/>
      <c r="E38" s="204"/>
      <c r="F38" s="204"/>
      <c r="G38" s="224"/>
      <c r="H38" s="4" t="s">
        <v>39</v>
      </c>
      <c r="I38" s="4" t="s">
        <v>40</v>
      </c>
      <c r="J38" s="219"/>
      <c r="K38" s="193"/>
      <c r="L38" s="4" t="s">
        <v>315</v>
      </c>
      <c r="M38" s="32">
        <v>0</v>
      </c>
      <c r="N38" s="32">
        <v>2021</v>
      </c>
      <c r="O38" s="65" t="s">
        <v>27</v>
      </c>
      <c r="P38" s="130">
        <v>70</v>
      </c>
      <c r="Q38" s="128" t="s">
        <v>28</v>
      </c>
      <c r="R38" s="90" t="s">
        <v>281</v>
      </c>
      <c r="S38" s="66"/>
    </row>
    <row r="39" spans="1:19" ht="195" x14ac:dyDescent="0.25">
      <c r="A39" s="200"/>
      <c r="B39" s="203">
        <f>F39</f>
        <v>14320102</v>
      </c>
      <c r="C39" s="235">
        <v>14320102</v>
      </c>
      <c r="D39" s="236" t="s">
        <v>270</v>
      </c>
      <c r="E39" s="204">
        <v>0</v>
      </c>
      <c r="F39" s="204">
        <f>C39+E39</f>
        <v>14320102</v>
      </c>
      <c r="G39" s="222">
        <f>F39</f>
        <v>14320102</v>
      </c>
      <c r="H39" s="4" t="s">
        <v>22</v>
      </c>
      <c r="I39" s="4" t="s">
        <v>23</v>
      </c>
      <c r="J39" s="225" t="s">
        <v>255</v>
      </c>
      <c r="K39" s="189" t="s">
        <v>25</v>
      </c>
      <c r="L39" s="4" t="s">
        <v>313</v>
      </c>
      <c r="M39" s="32">
        <v>0</v>
      </c>
      <c r="N39" s="32" t="s">
        <v>27</v>
      </c>
      <c r="O39" s="65">
        <v>25</v>
      </c>
      <c r="P39" s="130">
        <v>250</v>
      </c>
      <c r="Q39" s="128" t="s">
        <v>28</v>
      </c>
      <c r="R39" s="90" t="s">
        <v>282</v>
      </c>
      <c r="S39" s="66"/>
    </row>
    <row r="40" spans="1:19" ht="165" x14ac:dyDescent="0.25">
      <c r="A40" s="200"/>
      <c r="B40" s="203"/>
      <c r="C40" s="207"/>
      <c r="D40" s="219"/>
      <c r="E40" s="204"/>
      <c r="F40" s="204"/>
      <c r="G40" s="223"/>
      <c r="H40" s="4" t="s">
        <v>31</v>
      </c>
      <c r="I40" s="4" t="s">
        <v>32</v>
      </c>
      <c r="J40" s="226"/>
      <c r="K40" s="190"/>
      <c r="L40" s="4" t="s">
        <v>33</v>
      </c>
      <c r="M40" s="32">
        <v>0</v>
      </c>
      <c r="N40" s="32" t="s">
        <v>27</v>
      </c>
      <c r="O40" s="129">
        <v>286402</v>
      </c>
      <c r="P40" s="129">
        <v>2864020</v>
      </c>
      <c r="Q40" s="135" t="s">
        <v>28</v>
      </c>
      <c r="R40" s="90" t="s">
        <v>283</v>
      </c>
      <c r="S40" s="66"/>
    </row>
    <row r="41" spans="1:19" ht="210.75" customHeight="1" x14ac:dyDescent="0.25">
      <c r="A41" s="200"/>
      <c r="B41" s="203"/>
      <c r="C41" s="207"/>
      <c r="D41" s="219"/>
      <c r="E41" s="204"/>
      <c r="F41" s="204"/>
      <c r="G41" s="223"/>
      <c r="H41" s="4" t="s">
        <v>37</v>
      </c>
      <c r="I41" s="4" t="s">
        <v>48</v>
      </c>
      <c r="J41" s="226"/>
      <c r="K41" s="190"/>
      <c r="L41" s="4" t="s">
        <v>314</v>
      </c>
      <c r="M41" s="32">
        <v>0</v>
      </c>
      <c r="N41" s="32">
        <v>2021</v>
      </c>
      <c r="O41" s="65" t="s">
        <v>27</v>
      </c>
      <c r="P41" s="130">
        <v>4</v>
      </c>
      <c r="Q41" s="128" t="s">
        <v>28</v>
      </c>
      <c r="R41" s="90" t="s">
        <v>215</v>
      </c>
      <c r="S41" s="66"/>
    </row>
    <row r="42" spans="1:19" ht="150" x14ac:dyDescent="0.25">
      <c r="A42" s="200"/>
      <c r="B42" s="203"/>
      <c r="C42" s="207"/>
      <c r="D42" s="219"/>
      <c r="E42" s="204"/>
      <c r="F42" s="204"/>
      <c r="G42" s="223"/>
      <c r="H42" s="65" t="s">
        <v>45</v>
      </c>
      <c r="I42" s="65" t="s">
        <v>46</v>
      </c>
      <c r="J42" s="226"/>
      <c r="K42" s="190"/>
      <c r="L42" s="4" t="s">
        <v>47</v>
      </c>
      <c r="M42" s="32">
        <v>0</v>
      </c>
      <c r="N42" s="32">
        <v>2021</v>
      </c>
      <c r="O42" s="65" t="s">
        <v>27</v>
      </c>
      <c r="P42" s="130">
        <v>6</v>
      </c>
      <c r="Q42" s="128" t="s">
        <v>28</v>
      </c>
      <c r="R42" s="90" t="s">
        <v>212</v>
      </c>
      <c r="S42" s="66"/>
    </row>
    <row r="43" spans="1:19" ht="285" x14ac:dyDescent="0.25">
      <c r="A43" s="200"/>
      <c r="B43" s="203"/>
      <c r="C43" s="208"/>
      <c r="D43" s="219"/>
      <c r="E43" s="204"/>
      <c r="F43" s="204"/>
      <c r="G43" s="224"/>
      <c r="H43" s="4" t="s">
        <v>39</v>
      </c>
      <c r="I43" s="4" t="s">
        <v>40</v>
      </c>
      <c r="J43" s="226"/>
      <c r="K43" s="190"/>
      <c r="L43" s="4" t="s">
        <v>315</v>
      </c>
      <c r="M43" s="32">
        <v>0</v>
      </c>
      <c r="N43" s="32">
        <v>2021</v>
      </c>
      <c r="O43" s="65" t="s">
        <v>27</v>
      </c>
      <c r="P43" s="130">
        <v>70</v>
      </c>
      <c r="Q43" s="128" t="s">
        <v>28</v>
      </c>
      <c r="R43" s="90" t="s">
        <v>284</v>
      </c>
      <c r="S43" s="66"/>
    </row>
    <row r="44" spans="1:19" ht="195" x14ac:dyDescent="0.25">
      <c r="A44" s="232"/>
      <c r="B44" s="203">
        <f>F44</f>
        <v>2945305</v>
      </c>
      <c r="C44" s="203">
        <f>2191615+753690</f>
        <v>2945305</v>
      </c>
      <c r="D44" s="219" t="s">
        <v>285</v>
      </c>
      <c r="E44" s="204">
        <v>0</v>
      </c>
      <c r="F44" s="204">
        <f>C44+E44</f>
        <v>2945305</v>
      </c>
      <c r="G44" s="204">
        <f>F44</f>
        <v>2945305</v>
      </c>
      <c r="H44" s="4" t="s">
        <v>22</v>
      </c>
      <c r="I44" s="4" t="s">
        <v>23</v>
      </c>
      <c r="J44" s="227"/>
      <c r="K44" s="190"/>
      <c r="L44" s="4" t="s">
        <v>313</v>
      </c>
      <c r="M44" s="32">
        <v>0</v>
      </c>
      <c r="N44" s="32" t="s">
        <v>27</v>
      </c>
      <c r="O44" s="65">
        <v>5</v>
      </c>
      <c r="P44" s="130">
        <v>50</v>
      </c>
      <c r="Q44" s="128" t="s">
        <v>28</v>
      </c>
      <c r="R44" s="90" t="s">
        <v>286</v>
      </c>
      <c r="S44" s="66"/>
    </row>
    <row r="45" spans="1:19" ht="165" x14ac:dyDescent="0.25">
      <c r="A45" s="232"/>
      <c r="B45" s="203"/>
      <c r="C45" s="203"/>
      <c r="D45" s="219"/>
      <c r="E45" s="204"/>
      <c r="F45" s="204"/>
      <c r="G45" s="204"/>
      <c r="H45" s="4" t="s">
        <v>31</v>
      </c>
      <c r="I45" s="4" t="s">
        <v>32</v>
      </c>
      <c r="J45" s="227"/>
      <c r="K45" s="190"/>
      <c r="L45" s="4" t="s">
        <v>33</v>
      </c>
      <c r="M45" s="32">
        <v>0</v>
      </c>
      <c r="N45" s="32" t="s">
        <v>27</v>
      </c>
      <c r="O45" s="129">
        <v>58906</v>
      </c>
      <c r="P45" s="129">
        <v>589060</v>
      </c>
      <c r="Q45" s="135" t="s">
        <v>28</v>
      </c>
      <c r="R45" s="90" t="s">
        <v>287</v>
      </c>
      <c r="S45" s="66"/>
    </row>
    <row r="46" spans="1:19" ht="150" x14ac:dyDescent="0.25">
      <c r="A46" s="232"/>
      <c r="B46" s="203"/>
      <c r="C46" s="203"/>
      <c r="D46" s="219"/>
      <c r="E46" s="204"/>
      <c r="F46" s="204"/>
      <c r="G46" s="204"/>
      <c r="H46" s="4" t="s">
        <v>37</v>
      </c>
      <c r="I46" s="4" t="s">
        <v>48</v>
      </c>
      <c r="J46" s="227"/>
      <c r="K46" s="190"/>
      <c r="L46" s="4" t="s">
        <v>314</v>
      </c>
      <c r="M46" s="32">
        <v>0</v>
      </c>
      <c r="N46" s="32">
        <v>2021</v>
      </c>
      <c r="O46" s="65" t="s">
        <v>27</v>
      </c>
      <c r="P46" s="130">
        <v>1</v>
      </c>
      <c r="Q46" s="128" t="s">
        <v>28</v>
      </c>
      <c r="R46" s="90" t="s">
        <v>213</v>
      </c>
      <c r="S46" s="66"/>
    </row>
    <row r="47" spans="1:19" ht="150" x14ac:dyDescent="0.25">
      <c r="A47" s="232"/>
      <c r="B47" s="203"/>
      <c r="C47" s="203"/>
      <c r="D47" s="219"/>
      <c r="E47" s="204"/>
      <c r="F47" s="204"/>
      <c r="G47" s="204"/>
      <c r="H47" s="65" t="s">
        <v>45</v>
      </c>
      <c r="I47" s="65" t="s">
        <v>46</v>
      </c>
      <c r="J47" s="227"/>
      <c r="K47" s="190"/>
      <c r="L47" s="4" t="s">
        <v>47</v>
      </c>
      <c r="M47" s="32">
        <v>0</v>
      </c>
      <c r="N47" s="32">
        <v>2021</v>
      </c>
      <c r="O47" s="65" t="s">
        <v>27</v>
      </c>
      <c r="P47" s="130">
        <v>2</v>
      </c>
      <c r="Q47" s="128" t="s">
        <v>28</v>
      </c>
      <c r="R47" s="90" t="s">
        <v>214</v>
      </c>
      <c r="S47" s="66"/>
    </row>
    <row r="48" spans="1:19" ht="135.75" thickBot="1" x14ac:dyDescent="0.3">
      <c r="A48" s="233"/>
      <c r="B48" s="235"/>
      <c r="C48" s="235"/>
      <c r="D48" s="239"/>
      <c r="E48" s="222"/>
      <c r="F48" s="222"/>
      <c r="G48" s="222"/>
      <c r="H48" s="136" t="s">
        <v>39</v>
      </c>
      <c r="I48" s="136" t="s">
        <v>40</v>
      </c>
      <c r="J48" s="227"/>
      <c r="K48" s="191"/>
      <c r="L48" s="136" t="s">
        <v>315</v>
      </c>
      <c r="M48" s="137">
        <v>0</v>
      </c>
      <c r="N48" s="137">
        <v>2021</v>
      </c>
      <c r="O48" s="83" t="s">
        <v>27</v>
      </c>
      <c r="P48" s="138">
        <v>30</v>
      </c>
      <c r="Q48" s="139" t="s">
        <v>28</v>
      </c>
      <c r="R48" s="90" t="s">
        <v>288</v>
      </c>
      <c r="S48" s="66"/>
    </row>
    <row r="49" spans="1:19" ht="165" x14ac:dyDescent="0.25">
      <c r="A49" s="199" t="s">
        <v>49</v>
      </c>
      <c r="B49" s="202">
        <f>F49</f>
        <v>19889219</v>
      </c>
      <c r="C49" s="202">
        <v>14777047</v>
      </c>
      <c r="D49" s="209" t="s">
        <v>289</v>
      </c>
      <c r="E49" s="202">
        <f>C49-9664875</f>
        <v>5112172</v>
      </c>
      <c r="F49" s="202">
        <f>C49+E49</f>
        <v>19889219</v>
      </c>
      <c r="G49" s="202">
        <f>F49</f>
        <v>19889219</v>
      </c>
      <c r="H49" s="125" t="s">
        <v>31</v>
      </c>
      <c r="I49" s="125" t="s">
        <v>32</v>
      </c>
      <c r="J49" s="217" t="s">
        <v>24</v>
      </c>
      <c r="K49" s="192" t="s">
        <v>25</v>
      </c>
      <c r="L49" s="125" t="s">
        <v>33</v>
      </c>
      <c r="M49" s="126">
        <v>0</v>
      </c>
      <c r="N49" s="126" t="s">
        <v>27</v>
      </c>
      <c r="O49" s="140">
        <v>397784</v>
      </c>
      <c r="P49" s="141">
        <v>3977840</v>
      </c>
      <c r="Q49" s="127" t="s">
        <v>28</v>
      </c>
      <c r="R49" s="90" t="s">
        <v>290</v>
      </c>
      <c r="S49" s="66"/>
    </row>
    <row r="50" spans="1:19" ht="315" x14ac:dyDescent="0.25">
      <c r="A50" s="200"/>
      <c r="B50" s="203"/>
      <c r="C50" s="203"/>
      <c r="D50" s="210"/>
      <c r="E50" s="203"/>
      <c r="F50" s="203"/>
      <c r="G50" s="203"/>
      <c r="H50" s="4" t="s">
        <v>50</v>
      </c>
      <c r="I50" s="65" t="s">
        <v>51</v>
      </c>
      <c r="J50" s="218"/>
      <c r="K50" s="190"/>
      <c r="L50" s="4" t="s">
        <v>47</v>
      </c>
      <c r="M50" s="32">
        <v>0</v>
      </c>
      <c r="N50" s="32" t="s">
        <v>27</v>
      </c>
      <c r="O50" s="4">
        <v>5</v>
      </c>
      <c r="P50" s="130">
        <v>10</v>
      </c>
      <c r="Q50" s="128" t="s">
        <v>28</v>
      </c>
      <c r="R50" s="90" t="s">
        <v>221</v>
      </c>
      <c r="S50" s="66"/>
    </row>
    <row r="51" spans="1:19" ht="150" x14ac:dyDescent="0.25">
      <c r="A51" s="200"/>
      <c r="B51" s="203"/>
      <c r="C51" s="203"/>
      <c r="D51" s="210"/>
      <c r="E51" s="203"/>
      <c r="F51" s="203"/>
      <c r="G51" s="203"/>
      <c r="H51" s="4" t="s">
        <v>52</v>
      </c>
      <c r="I51" s="65" t="s">
        <v>53</v>
      </c>
      <c r="J51" s="218"/>
      <c r="K51" s="193"/>
      <c r="L51" s="88" t="s">
        <v>54</v>
      </c>
      <c r="M51" s="32">
        <v>0</v>
      </c>
      <c r="N51" s="32">
        <v>2021</v>
      </c>
      <c r="O51" s="4" t="s">
        <v>27</v>
      </c>
      <c r="P51" s="130">
        <v>140</v>
      </c>
      <c r="Q51" s="128" t="s">
        <v>28</v>
      </c>
      <c r="R51" s="90" t="s">
        <v>222</v>
      </c>
      <c r="S51" s="66"/>
    </row>
    <row r="52" spans="1:19" ht="165" x14ac:dyDescent="0.25">
      <c r="A52" s="200"/>
      <c r="B52" s="203">
        <f>F52</f>
        <v>11933531</v>
      </c>
      <c r="C52" s="203">
        <v>11933531</v>
      </c>
      <c r="D52" s="210"/>
      <c r="E52" s="203">
        <v>0</v>
      </c>
      <c r="F52" s="203">
        <f>C52+E52</f>
        <v>11933531</v>
      </c>
      <c r="G52" s="235">
        <f>F52</f>
        <v>11933531</v>
      </c>
      <c r="H52" s="4" t="s">
        <v>31</v>
      </c>
      <c r="I52" s="4" t="s">
        <v>32</v>
      </c>
      <c r="J52" s="218" t="s">
        <v>255</v>
      </c>
      <c r="K52" s="189" t="s">
        <v>25</v>
      </c>
      <c r="L52" s="4" t="s">
        <v>33</v>
      </c>
      <c r="M52" s="32">
        <v>0</v>
      </c>
      <c r="N52" s="32" t="s">
        <v>27</v>
      </c>
      <c r="O52" s="130">
        <v>238671</v>
      </c>
      <c r="P52" s="129">
        <v>2386710</v>
      </c>
      <c r="Q52" s="135" t="s">
        <v>28</v>
      </c>
      <c r="R52" s="90" t="s">
        <v>291</v>
      </c>
      <c r="S52" s="66"/>
    </row>
    <row r="53" spans="1:19" ht="300" x14ac:dyDescent="0.25">
      <c r="A53" s="200"/>
      <c r="B53" s="203"/>
      <c r="C53" s="203"/>
      <c r="D53" s="210"/>
      <c r="E53" s="203"/>
      <c r="F53" s="203"/>
      <c r="G53" s="207"/>
      <c r="H53" s="4" t="s">
        <v>50</v>
      </c>
      <c r="I53" s="4" t="s">
        <v>51</v>
      </c>
      <c r="J53" s="218"/>
      <c r="K53" s="190"/>
      <c r="L53" s="4" t="s">
        <v>47</v>
      </c>
      <c r="M53" s="32">
        <v>0</v>
      </c>
      <c r="N53" s="32" t="s">
        <v>27</v>
      </c>
      <c r="O53" s="4">
        <v>3</v>
      </c>
      <c r="P53" s="130">
        <v>6</v>
      </c>
      <c r="Q53" s="128" t="s">
        <v>28</v>
      </c>
      <c r="R53" s="90" t="s">
        <v>292</v>
      </c>
      <c r="S53" s="66"/>
    </row>
    <row r="54" spans="1:19" ht="150.75" thickBot="1" x14ac:dyDescent="0.3">
      <c r="A54" s="201"/>
      <c r="B54" s="235"/>
      <c r="C54" s="235"/>
      <c r="D54" s="211"/>
      <c r="E54" s="235"/>
      <c r="F54" s="235"/>
      <c r="G54" s="244"/>
      <c r="H54" s="136" t="s">
        <v>45</v>
      </c>
      <c r="I54" s="83" t="s">
        <v>53</v>
      </c>
      <c r="J54" s="225"/>
      <c r="K54" s="191"/>
      <c r="L54" s="89" t="s">
        <v>54</v>
      </c>
      <c r="M54" s="137">
        <v>0</v>
      </c>
      <c r="N54" s="137">
        <v>2021</v>
      </c>
      <c r="O54" s="136" t="s">
        <v>27</v>
      </c>
      <c r="P54" s="138">
        <v>85</v>
      </c>
      <c r="Q54" s="139" t="s">
        <v>28</v>
      </c>
      <c r="R54" s="90" t="s">
        <v>293</v>
      </c>
      <c r="S54" s="66"/>
    </row>
    <row r="55" spans="1:19" ht="135" x14ac:dyDescent="0.25">
      <c r="A55" s="199" t="s">
        <v>319</v>
      </c>
      <c r="B55" s="202">
        <f>F55</f>
        <v>24628414</v>
      </c>
      <c r="C55" s="202">
        <v>12314207</v>
      </c>
      <c r="D55" s="234" t="s">
        <v>289</v>
      </c>
      <c r="E55" s="251">
        <f>C55</f>
        <v>12314207</v>
      </c>
      <c r="F55" s="251">
        <f>C55+E55</f>
        <v>24628414</v>
      </c>
      <c r="G55" s="242">
        <f>F55</f>
        <v>24628414</v>
      </c>
      <c r="H55" s="125" t="s">
        <v>34</v>
      </c>
      <c r="I55" s="125" t="s">
        <v>35</v>
      </c>
      <c r="J55" s="217" t="s">
        <v>24</v>
      </c>
      <c r="K55" s="192" t="s">
        <v>25</v>
      </c>
      <c r="L55" s="125" t="s">
        <v>36</v>
      </c>
      <c r="M55" s="126">
        <v>0</v>
      </c>
      <c r="N55" s="126" t="s">
        <v>27</v>
      </c>
      <c r="O55" s="142">
        <v>0</v>
      </c>
      <c r="P55" s="141">
        <v>50</v>
      </c>
      <c r="Q55" s="127" t="s">
        <v>28</v>
      </c>
      <c r="R55" s="90" t="s">
        <v>216</v>
      </c>
      <c r="S55" s="66"/>
    </row>
    <row r="56" spans="1:19" ht="195" x14ac:dyDescent="0.25">
      <c r="A56" s="200"/>
      <c r="B56" s="203"/>
      <c r="C56" s="203"/>
      <c r="D56" s="236"/>
      <c r="E56" s="204"/>
      <c r="F56" s="204"/>
      <c r="G56" s="223"/>
      <c r="H56" s="65" t="s">
        <v>50</v>
      </c>
      <c r="I56" s="65" t="s">
        <v>55</v>
      </c>
      <c r="J56" s="218"/>
      <c r="K56" s="190"/>
      <c r="L56" s="4" t="s">
        <v>47</v>
      </c>
      <c r="M56" s="32">
        <v>0</v>
      </c>
      <c r="N56" s="32" t="s">
        <v>27</v>
      </c>
      <c r="O56" s="131">
        <v>0</v>
      </c>
      <c r="P56" s="130">
        <v>50</v>
      </c>
      <c r="Q56" s="128" t="s">
        <v>28</v>
      </c>
      <c r="R56" s="162" t="s">
        <v>294</v>
      </c>
      <c r="S56" s="66"/>
    </row>
    <row r="57" spans="1:19" ht="345" x14ac:dyDescent="0.25">
      <c r="A57" s="200"/>
      <c r="B57" s="203"/>
      <c r="C57" s="203"/>
      <c r="D57" s="236"/>
      <c r="E57" s="204"/>
      <c r="F57" s="204"/>
      <c r="G57" s="223"/>
      <c r="H57" s="65" t="s">
        <v>50</v>
      </c>
      <c r="I57" s="65" t="s">
        <v>56</v>
      </c>
      <c r="J57" s="218"/>
      <c r="K57" s="190"/>
      <c r="L57" s="4" t="s">
        <v>47</v>
      </c>
      <c r="M57" s="32">
        <v>0</v>
      </c>
      <c r="N57" s="32" t="s">
        <v>27</v>
      </c>
      <c r="O57" s="143">
        <v>37</v>
      </c>
      <c r="P57" s="129">
        <v>245</v>
      </c>
      <c r="Q57" s="128" t="s">
        <v>28</v>
      </c>
      <c r="R57" s="152" t="s">
        <v>295</v>
      </c>
      <c r="S57" s="66"/>
    </row>
    <row r="58" spans="1:19" ht="270" x14ac:dyDescent="0.25">
      <c r="A58" s="200"/>
      <c r="B58" s="203"/>
      <c r="C58" s="203"/>
      <c r="D58" s="236"/>
      <c r="E58" s="204"/>
      <c r="F58" s="204"/>
      <c r="G58" s="223"/>
      <c r="H58" s="65" t="s">
        <v>50</v>
      </c>
      <c r="I58" s="65" t="s">
        <v>57</v>
      </c>
      <c r="J58" s="218"/>
      <c r="K58" s="190"/>
      <c r="L58" s="4" t="s">
        <v>47</v>
      </c>
      <c r="M58" s="32">
        <v>0</v>
      </c>
      <c r="N58" s="32" t="s">
        <v>27</v>
      </c>
      <c r="O58" s="131">
        <v>41</v>
      </c>
      <c r="P58" s="130">
        <v>275</v>
      </c>
      <c r="Q58" s="128" t="s">
        <v>28</v>
      </c>
      <c r="R58" s="152" t="s">
        <v>296</v>
      </c>
      <c r="S58" s="66"/>
    </row>
    <row r="59" spans="1:19" ht="105" x14ac:dyDescent="0.25">
      <c r="A59" s="200"/>
      <c r="B59" s="203"/>
      <c r="C59" s="203"/>
      <c r="D59" s="236"/>
      <c r="E59" s="204"/>
      <c r="F59" s="204"/>
      <c r="G59" s="224"/>
      <c r="H59" s="4" t="s">
        <v>39</v>
      </c>
      <c r="I59" s="4" t="s">
        <v>40</v>
      </c>
      <c r="J59" s="218"/>
      <c r="K59" s="193"/>
      <c r="L59" s="4" t="s">
        <v>315</v>
      </c>
      <c r="M59" s="32">
        <v>0</v>
      </c>
      <c r="N59" s="32">
        <v>2021</v>
      </c>
      <c r="O59" s="65" t="s">
        <v>27</v>
      </c>
      <c r="P59" s="130">
        <v>105</v>
      </c>
      <c r="Q59" s="128" t="s">
        <v>28</v>
      </c>
      <c r="R59" s="152" t="s">
        <v>217</v>
      </c>
      <c r="S59" s="66"/>
    </row>
    <row r="60" spans="1:19" ht="135" x14ac:dyDescent="0.25">
      <c r="A60" s="200"/>
      <c r="B60" s="203">
        <f>F60</f>
        <v>9944608</v>
      </c>
      <c r="C60" s="203">
        <v>9944608</v>
      </c>
      <c r="D60" s="236"/>
      <c r="E60" s="204">
        <v>0</v>
      </c>
      <c r="F60" s="204">
        <f>C60+E60</f>
        <v>9944608</v>
      </c>
      <c r="G60" s="222">
        <f>F60</f>
        <v>9944608</v>
      </c>
      <c r="H60" s="4" t="s">
        <v>34</v>
      </c>
      <c r="I60" s="4" t="s">
        <v>35</v>
      </c>
      <c r="J60" s="218" t="s">
        <v>255</v>
      </c>
      <c r="K60" s="189" t="s">
        <v>25</v>
      </c>
      <c r="L60" s="4" t="s">
        <v>36</v>
      </c>
      <c r="M60" s="32">
        <v>0</v>
      </c>
      <c r="N60" s="32" t="s">
        <v>27</v>
      </c>
      <c r="O60" s="131">
        <v>0</v>
      </c>
      <c r="P60" s="130">
        <v>15</v>
      </c>
      <c r="Q60" s="128" t="s">
        <v>28</v>
      </c>
      <c r="R60" s="90" t="s">
        <v>218</v>
      </c>
      <c r="S60" s="66"/>
    </row>
    <row r="61" spans="1:19" ht="180" x14ac:dyDescent="0.25">
      <c r="A61" s="200"/>
      <c r="B61" s="203"/>
      <c r="C61" s="203"/>
      <c r="D61" s="236"/>
      <c r="E61" s="204"/>
      <c r="F61" s="204"/>
      <c r="G61" s="223"/>
      <c r="H61" s="65" t="s">
        <v>50</v>
      </c>
      <c r="I61" s="65" t="s">
        <v>55</v>
      </c>
      <c r="J61" s="218"/>
      <c r="K61" s="190"/>
      <c r="L61" s="4" t="s">
        <v>47</v>
      </c>
      <c r="M61" s="32">
        <v>0</v>
      </c>
      <c r="N61" s="32" t="s">
        <v>27</v>
      </c>
      <c r="O61" s="131">
        <v>0</v>
      </c>
      <c r="P61" s="130">
        <v>35</v>
      </c>
      <c r="Q61" s="128" t="s">
        <v>28</v>
      </c>
      <c r="R61" s="152" t="s">
        <v>297</v>
      </c>
      <c r="S61" s="66"/>
    </row>
    <row r="62" spans="1:19" ht="330" x14ac:dyDescent="0.25">
      <c r="A62" s="200"/>
      <c r="B62" s="203"/>
      <c r="C62" s="203"/>
      <c r="D62" s="236"/>
      <c r="E62" s="204"/>
      <c r="F62" s="204"/>
      <c r="G62" s="223"/>
      <c r="H62" s="65" t="s">
        <v>50</v>
      </c>
      <c r="I62" s="65" t="s">
        <v>56</v>
      </c>
      <c r="J62" s="218"/>
      <c r="K62" s="190"/>
      <c r="L62" s="4" t="s">
        <v>47</v>
      </c>
      <c r="M62" s="32">
        <v>0</v>
      </c>
      <c r="N62" s="32" t="s">
        <v>27</v>
      </c>
      <c r="O62" s="131">
        <v>6</v>
      </c>
      <c r="P62" s="130">
        <v>41</v>
      </c>
      <c r="Q62" s="128" t="s">
        <v>28</v>
      </c>
      <c r="R62" s="152" t="s">
        <v>298</v>
      </c>
      <c r="S62" s="66"/>
    </row>
    <row r="63" spans="1:19" ht="270" x14ac:dyDescent="0.25">
      <c r="A63" s="200"/>
      <c r="B63" s="203"/>
      <c r="C63" s="203"/>
      <c r="D63" s="236"/>
      <c r="E63" s="204"/>
      <c r="F63" s="204"/>
      <c r="G63" s="223"/>
      <c r="H63" s="65" t="s">
        <v>50</v>
      </c>
      <c r="I63" s="65" t="s">
        <v>57</v>
      </c>
      <c r="J63" s="218"/>
      <c r="K63" s="190"/>
      <c r="L63" s="4" t="s">
        <v>47</v>
      </c>
      <c r="M63" s="32">
        <v>0</v>
      </c>
      <c r="N63" s="32" t="s">
        <v>27</v>
      </c>
      <c r="O63" s="131">
        <v>11</v>
      </c>
      <c r="P63" s="130">
        <v>75</v>
      </c>
      <c r="Q63" s="128" t="s">
        <v>28</v>
      </c>
      <c r="R63" s="152" t="s">
        <v>299</v>
      </c>
      <c r="S63" s="66"/>
    </row>
    <row r="64" spans="1:19" ht="105.75" thickBot="1" x14ac:dyDescent="0.3">
      <c r="A64" s="249"/>
      <c r="B64" s="243"/>
      <c r="C64" s="243"/>
      <c r="D64" s="250"/>
      <c r="E64" s="205"/>
      <c r="F64" s="205"/>
      <c r="G64" s="252"/>
      <c r="H64" s="132" t="s">
        <v>39</v>
      </c>
      <c r="I64" s="132" t="s">
        <v>40</v>
      </c>
      <c r="J64" s="253"/>
      <c r="K64" s="191"/>
      <c r="L64" s="132" t="s">
        <v>315</v>
      </c>
      <c r="M64" s="133">
        <v>0</v>
      </c>
      <c r="N64" s="133">
        <v>2021</v>
      </c>
      <c r="O64" s="132" t="s">
        <v>27</v>
      </c>
      <c r="P64" s="144">
        <v>51</v>
      </c>
      <c r="Q64" s="134" t="s">
        <v>28</v>
      </c>
      <c r="R64" s="152" t="s">
        <v>219</v>
      </c>
      <c r="S64" s="66"/>
    </row>
    <row r="65" spans="1:17" x14ac:dyDescent="0.25">
      <c r="B65" t="s">
        <v>58</v>
      </c>
      <c r="C65" s="145">
        <f>C5+C11+C29+C34+C49+C55</f>
        <v>75955192</v>
      </c>
      <c r="D65" s="145"/>
      <c r="E65" s="145">
        <f>E5+E11+E29+E34+E49+E55</f>
        <v>75955192</v>
      </c>
      <c r="F65" s="146">
        <f>F5+F11+F29+F34+F49+F55</f>
        <v>151910384</v>
      </c>
      <c r="G65" s="146">
        <f>G5+G11+G29+G34+G49+G55</f>
        <v>151910384</v>
      </c>
      <c r="M65" s="1">
        <f>SUM(M5:M64)</f>
        <v>0</v>
      </c>
      <c r="O65" s="3">
        <f>SUM(O5:O64)</f>
        <v>3660578</v>
      </c>
      <c r="P65" s="15">
        <f>SUM(P5:P64)</f>
        <v>36607254</v>
      </c>
      <c r="Q65"/>
    </row>
    <row r="66" spans="1:17" x14ac:dyDescent="0.25">
      <c r="B66" t="s">
        <v>59</v>
      </c>
      <c r="C66" s="146">
        <f>C17+C23+C39+C44+C52+C60</f>
        <v>65679502</v>
      </c>
      <c r="D66" s="146"/>
      <c r="E66" s="146">
        <f>E17+E23+E39+E44+E52+E60</f>
        <v>0</v>
      </c>
      <c r="F66" s="146">
        <f>F17+F23+F39+F44+F52+F60</f>
        <v>65679502</v>
      </c>
      <c r="G66" s="146">
        <f>G17+G23+G39+G44+G52+G60</f>
        <v>65679502</v>
      </c>
      <c r="Q66"/>
    </row>
    <row r="67" spans="1:17" x14ac:dyDescent="0.25">
      <c r="B67" t="s">
        <v>385</v>
      </c>
      <c r="C67" s="188">
        <f>C5+C29+C49+C55</f>
        <v>60259807</v>
      </c>
      <c r="Q67"/>
    </row>
    <row r="68" spans="1:17" ht="15.75" thickBot="1" x14ac:dyDescent="0.3">
      <c r="Q68"/>
    </row>
    <row r="69" spans="1:17" ht="30.75" thickBot="1" x14ac:dyDescent="0.3">
      <c r="A69" s="10" t="s">
        <v>60</v>
      </c>
      <c r="B69" s="11" t="s">
        <v>61</v>
      </c>
      <c r="C69" s="11" t="s">
        <v>62</v>
      </c>
      <c r="D69" s="11" t="s">
        <v>63</v>
      </c>
      <c r="E69" s="11" t="s">
        <v>64</v>
      </c>
      <c r="F69" s="11" t="s">
        <v>8</v>
      </c>
      <c r="G69" s="11" t="s">
        <v>65</v>
      </c>
      <c r="H69" s="11" t="s">
        <v>66</v>
      </c>
      <c r="I69" s="12" t="s">
        <v>12</v>
      </c>
      <c r="Q69"/>
    </row>
    <row r="70" spans="1:17" ht="60" x14ac:dyDescent="0.25">
      <c r="A70" s="16" t="str">
        <f>H5</f>
        <v>RCO06</v>
      </c>
      <c r="B70" s="17" t="str">
        <f>I5</f>
        <v>Researchers working in supported research facilities (paramą gavusiose mokslinių tyrimų įstaigose dirbantys mokslininkai)</v>
      </c>
      <c r="C70" s="17" t="str">
        <f>L5</f>
        <v>annual FTEs
(Vienų metų etato ekvivalentai)</v>
      </c>
      <c r="D70" s="18">
        <v>0</v>
      </c>
      <c r="E70" s="18" t="s">
        <v>67</v>
      </c>
      <c r="F70" s="18" t="s">
        <v>25</v>
      </c>
      <c r="G70" s="18" t="s">
        <v>27</v>
      </c>
      <c r="H70" s="182">
        <f>O5+O11+O29+O34</f>
        <v>47</v>
      </c>
      <c r="I70" s="183">
        <f>P5+P11+P29+P34</f>
        <v>465</v>
      </c>
      <c r="Q70"/>
    </row>
    <row r="71" spans="1:17" ht="60" x14ac:dyDescent="0.25">
      <c r="A71" s="19" t="str">
        <f>H17</f>
        <v>RCO06</v>
      </c>
      <c r="B71" s="100" t="str">
        <f>I17</f>
        <v>Researchers working in supported research facilities (paramą gavusiose mokslinių tyrimų įstaigose dirbantys mokslininkai)</v>
      </c>
      <c r="C71" s="100" t="str">
        <f>L17</f>
        <v>annual FTEs
(Vienų metų etato ekvivalentai)</v>
      </c>
      <c r="D71" s="96">
        <v>0</v>
      </c>
      <c r="E71" s="100" t="s">
        <v>255</v>
      </c>
      <c r="F71" s="96" t="s">
        <v>25</v>
      </c>
      <c r="G71" s="96" t="s">
        <v>27</v>
      </c>
      <c r="H71" s="96">
        <f>O17+O23+O39+O44</f>
        <v>76</v>
      </c>
      <c r="I71" s="20">
        <f>P17+P23+P39+P44</f>
        <v>760</v>
      </c>
      <c r="Q71"/>
    </row>
    <row r="72" spans="1:17" ht="75" x14ac:dyDescent="0.25">
      <c r="A72" s="19" t="str">
        <f>H6</f>
        <v>RCO07</v>
      </c>
      <c r="B72" s="100" t="str">
        <f>I6</f>
        <v>Research institutions participating in joint research projects (bendruose mokslinių tyrimų projektuose dalyvaujančios mokslo tiriamosios organizacijos)</v>
      </c>
      <c r="C72" s="100" t="str">
        <f>L6</f>
        <v>research institutions
(Mokslinių tyrimų organizacijos)</v>
      </c>
      <c r="D72" s="96">
        <v>0</v>
      </c>
      <c r="E72" s="96" t="s">
        <v>67</v>
      </c>
      <c r="F72" s="96" t="s">
        <v>25</v>
      </c>
      <c r="G72" s="96" t="s">
        <v>27</v>
      </c>
      <c r="H72" s="96">
        <f>O6+O12</f>
        <v>0</v>
      </c>
      <c r="I72" s="21">
        <f>P6+P12</f>
        <v>15</v>
      </c>
      <c r="Q72"/>
    </row>
    <row r="73" spans="1:17" ht="75" x14ac:dyDescent="0.25">
      <c r="A73" s="19" t="str">
        <f>H18</f>
        <v>RCO07</v>
      </c>
      <c r="B73" s="100" t="str">
        <f>I18</f>
        <v>Research institutions participating in joint research projects (bendruose mokslinių tyrimų projektuose dalyvaujančios mokslo tiriamosios organizacijos)</v>
      </c>
      <c r="C73" s="100" t="str">
        <f>L18</f>
        <v>research institutions
(Mokslinių tyrimų organizacijos)</v>
      </c>
      <c r="D73" s="96">
        <v>0</v>
      </c>
      <c r="E73" s="100" t="s">
        <v>255</v>
      </c>
      <c r="F73" s="96" t="s">
        <v>25</v>
      </c>
      <c r="G73" s="96" t="s">
        <v>27</v>
      </c>
      <c r="H73" s="96">
        <f>O18+O24</f>
        <v>0</v>
      </c>
      <c r="I73" s="21">
        <f>P18+P24</f>
        <v>5</v>
      </c>
      <c r="Q73"/>
    </row>
    <row r="74" spans="1:17" ht="60" x14ac:dyDescent="0.25">
      <c r="A74" s="19" t="str">
        <f>H7</f>
        <v>RCO08</v>
      </c>
      <c r="B74" s="100" t="str">
        <f>I7</f>
        <v>Nominal value of research and innovation equipment (nominalioji mokslinių tyrimų ir inovacijų įrangos vertė)</v>
      </c>
      <c r="C74" s="96" t="str">
        <f>L7</f>
        <v>Eur</v>
      </c>
      <c r="D74" s="96">
        <v>0</v>
      </c>
      <c r="E74" s="96" t="s">
        <v>67</v>
      </c>
      <c r="F74" s="96" t="s">
        <v>25</v>
      </c>
      <c r="G74" s="96" t="s">
        <v>27</v>
      </c>
      <c r="H74" s="184">
        <f>O7+O13+O30+O35+O49</f>
        <v>2545638</v>
      </c>
      <c r="I74" s="185">
        <f>P7+P13+P30+P35+P49</f>
        <v>25456380</v>
      </c>
      <c r="Q74"/>
    </row>
    <row r="75" spans="1:17" ht="60" x14ac:dyDescent="0.25">
      <c r="A75" s="19" t="str">
        <f>H19</f>
        <v>RCO08</v>
      </c>
      <c r="B75" s="100" t="str">
        <f>I19</f>
        <v>Nominal value of research and innovation equipment (nominalioji mokslinių tyrimų ir inovacijų įrangos vertė)</v>
      </c>
      <c r="C75" s="96" t="str">
        <f>L19</f>
        <v>Eur</v>
      </c>
      <c r="D75" s="96">
        <v>0</v>
      </c>
      <c r="E75" s="100" t="s">
        <v>255</v>
      </c>
      <c r="F75" s="96" t="s">
        <v>25</v>
      </c>
      <c r="G75" s="96" t="s">
        <v>27</v>
      </c>
      <c r="H75" s="13">
        <f>O19+O25+O40+O45+O52</f>
        <v>1114698</v>
      </c>
      <c r="I75" s="20">
        <f>P19+P25+P40+P45+P52</f>
        <v>11146980</v>
      </c>
      <c r="Q75"/>
    </row>
    <row r="76" spans="1:17" ht="60" x14ac:dyDescent="0.25">
      <c r="A76" s="19" t="str">
        <f>H8</f>
        <v>RCO10</v>
      </c>
      <c r="B76" s="100" t="str">
        <f>I8</f>
        <v>Enterprises cooperating with research institutions (su mokslo tiriamosiomis institucijomis bendradarbiaujančios įmonės)</v>
      </c>
      <c r="C76" s="96" t="str">
        <f>L8</f>
        <v>enterprises</v>
      </c>
      <c r="D76" s="96">
        <v>0</v>
      </c>
      <c r="E76" s="96" t="s">
        <v>67</v>
      </c>
      <c r="F76" s="96" t="s">
        <v>25</v>
      </c>
      <c r="G76" s="96" t="s">
        <v>27</v>
      </c>
      <c r="H76" s="14">
        <f>O8+O14+O55</f>
        <v>11</v>
      </c>
      <c r="I76" s="22">
        <f>P8+P14+P55</f>
        <v>155</v>
      </c>
      <c r="Q76"/>
    </row>
    <row r="77" spans="1:17" ht="60" x14ac:dyDescent="0.25">
      <c r="A77" s="19" t="str">
        <f>H20</f>
        <v>RCO10</v>
      </c>
      <c r="B77" s="100" t="str">
        <f>I20</f>
        <v>Enterprises cooperating with research institutions (su mokslo tiriamosiomis institucijomis bendradarbiaujančios įmonės)</v>
      </c>
      <c r="C77" s="96" t="str">
        <f>L20</f>
        <v>enterprises</v>
      </c>
      <c r="D77" s="96">
        <v>0</v>
      </c>
      <c r="E77" s="100" t="s">
        <v>255</v>
      </c>
      <c r="F77" s="96" t="s">
        <v>25</v>
      </c>
      <c r="G77" s="96" t="s">
        <v>27</v>
      </c>
      <c r="H77" s="14">
        <f>O20+O26+O60</f>
        <v>5</v>
      </c>
      <c r="I77" s="22">
        <f>P20+P26+P60</f>
        <v>60</v>
      </c>
      <c r="Q77"/>
    </row>
    <row r="78" spans="1:17" ht="64.5" customHeight="1" x14ac:dyDescent="0.25">
      <c r="A78" s="19" t="str">
        <f>H50</f>
        <v>Specific output</v>
      </c>
      <c r="B78" s="100" t="str">
        <f>I50</f>
        <v>Number of science and research institutions, which received investments (Investicijas gavusių mokslo ir studijų institucijų skaičius)</v>
      </c>
      <c r="C78" s="96" t="str">
        <f>L50</f>
        <v>number</v>
      </c>
      <c r="D78" s="96">
        <v>0</v>
      </c>
      <c r="E78" s="96" t="s">
        <v>67</v>
      </c>
      <c r="F78" s="96" t="s">
        <v>25</v>
      </c>
      <c r="G78" s="96" t="s">
        <v>27</v>
      </c>
      <c r="H78" s="96">
        <f>O50</f>
        <v>5</v>
      </c>
      <c r="I78" s="20">
        <f>P50</f>
        <v>10</v>
      </c>
      <c r="L78"/>
      <c r="M78"/>
      <c r="N78"/>
      <c r="P78"/>
      <c r="Q78"/>
    </row>
    <row r="79" spans="1:17" ht="60" x14ac:dyDescent="0.25">
      <c r="A79" s="19" t="str">
        <f>H53</f>
        <v>Specific output</v>
      </c>
      <c r="B79" s="100" t="str">
        <f>I53</f>
        <v>Number of science and research institutions, which received investments (Investicijas gavusių mokslo ir studijų institucijų skaičius)</v>
      </c>
      <c r="C79" s="96" t="str">
        <f>L53</f>
        <v>number</v>
      </c>
      <c r="D79" s="96">
        <v>0</v>
      </c>
      <c r="E79" s="100" t="s">
        <v>255</v>
      </c>
      <c r="F79" s="96" t="s">
        <v>25</v>
      </c>
      <c r="G79" s="96" t="s">
        <v>27</v>
      </c>
      <c r="H79" s="96">
        <f>O53</f>
        <v>3</v>
      </c>
      <c r="I79" s="20">
        <f>P53</f>
        <v>6</v>
      </c>
      <c r="L79"/>
      <c r="M79"/>
      <c r="N79"/>
      <c r="P79"/>
      <c r="Q79"/>
    </row>
    <row r="80" spans="1:17" ht="30" x14ac:dyDescent="0.25">
      <c r="A80" s="19" t="str">
        <f>H56</f>
        <v>Specific output</v>
      </c>
      <c r="B80" s="100" t="str">
        <f>I56</f>
        <v>Implemented R&amp;D projects
 (Įgyvendinti MTEP projektai)</v>
      </c>
      <c r="C80" s="96" t="str">
        <f>L56</f>
        <v>number</v>
      </c>
      <c r="D80" s="96">
        <v>0</v>
      </c>
      <c r="E80" s="96" t="s">
        <v>67</v>
      </c>
      <c r="F80" s="96" t="s">
        <v>25</v>
      </c>
      <c r="G80" s="96" t="s">
        <v>27</v>
      </c>
      <c r="H80" s="14">
        <f>O56</f>
        <v>0</v>
      </c>
      <c r="I80" s="20">
        <f>P56</f>
        <v>50</v>
      </c>
      <c r="L80"/>
      <c r="M80"/>
      <c r="N80"/>
      <c r="P80"/>
      <c r="Q80"/>
    </row>
    <row r="81" spans="1:17" ht="30" x14ac:dyDescent="0.25">
      <c r="A81" s="19" t="str">
        <f>H61</f>
        <v>Specific output</v>
      </c>
      <c r="B81" s="100" t="str">
        <f>I61</f>
        <v>Implemented R&amp;D projects
 (Įgyvendinti MTEP projektai)</v>
      </c>
      <c r="C81" s="96" t="str">
        <f>L61</f>
        <v>number</v>
      </c>
      <c r="D81" s="96">
        <v>0</v>
      </c>
      <c r="E81" s="100" t="s">
        <v>255</v>
      </c>
      <c r="F81" s="96" t="s">
        <v>25</v>
      </c>
      <c r="G81" s="96" t="s">
        <v>27</v>
      </c>
      <c r="H81" s="14">
        <f>O61</f>
        <v>0</v>
      </c>
      <c r="I81" s="20">
        <f>P61</f>
        <v>35</v>
      </c>
      <c r="L81"/>
      <c r="M81"/>
      <c r="N81"/>
      <c r="P81"/>
      <c r="Q81"/>
    </row>
    <row r="82" spans="1:17" ht="90" x14ac:dyDescent="0.25">
      <c r="A82" s="19" t="str">
        <f>H57</f>
        <v>Specific output</v>
      </c>
      <c r="B82" s="100" t="str">
        <f>I57</f>
        <v>Researchers from abroad have been attracted to Lithuanian research and study institutions 
(Į Lietuvos mokslo ir studijų institucijas pritraukti tyrėjai iš užsienio)</v>
      </c>
      <c r="C82" s="96" t="str">
        <f>L58</f>
        <v>number</v>
      </c>
      <c r="D82" s="96">
        <v>0</v>
      </c>
      <c r="E82" s="96" t="s">
        <v>67</v>
      </c>
      <c r="F82" s="96" t="s">
        <v>25</v>
      </c>
      <c r="G82" s="96" t="s">
        <v>27</v>
      </c>
      <c r="H82" s="14">
        <f>O57</f>
        <v>37</v>
      </c>
      <c r="I82" s="20">
        <f>P57</f>
        <v>245</v>
      </c>
      <c r="L82"/>
      <c r="M82"/>
      <c r="N82"/>
      <c r="P82"/>
      <c r="Q82"/>
    </row>
    <row r="83" spans="1:17" ht="90" x14ac:dyDescent="0.25">
      <c r="A83" s="19" t="str">
        <f>H62</f>
        <v>Specific output</v>
      </c>
      <c r="B83" s="100" t="str">
        <f>I62</f>
        <v>Researchers from abroad have been attracted to Lithuanian research and study institutions 
(Į Lietuvos mokslo ir studijų institucijas pritraukti tyrėjai iš užsienio)</v>
      </c>
      <c r="C83" s="96" t="str">
        <f>L62</f>
        <v>number</v>
      </c>
      <c r="D83" s="96">
        <v>0</v>
      </c>
      <c r="E83" s="100" t="s">
        <v>255</v>
      </c>
      <c r="F83" s="96" t="s">
        <v>25</v>
      </c>
      <c r="G83" s="96" t="s">
        <v>27</v>
      </c>
      <c r="H83" s="14">
        <f>O62</f>
        <v>6</v>
      </c>
      <c r="I83" s="20">
        <f>P62</f>
        <v>41</v>
      </c>
      <c r="L83"/>
      <c r="M83"/>
      <c r="N83"/>
      <c r="P83"/>
      <c r="Q83"/>
    </row>
    <row r="84" spans="1:17" ht="60" x14ac:dyDescent="0.25">
      <c r="A84" s="19" t="str">
        <f>H58</f>
        <v>Specific output</v>
      </c>
      <c r="B84" s="100" t="str">
        <f>I58</f>
        <v>Researchers who have gone abroad to improve their professional knowledge
(Į užsienį tobulinti profesinių žinių išvykę tyrėjai)</v>
      </c>
      <c r="C84" s="96" t="str">
        <f>L58</f>
        <v>number</v>
      </c>
      <c r="D84" s="96">
        <v>0</v>
      </c>
      <c r="E84" s="96" t="s">
        <v>67</v>
      </c>
      <c r="F84" s="96" t="s">
        <v>25</v>
      </c>
      <c r="G84" s="96" t="s">
        <v>27</v>
      </c>
      <c r="H84" s="99">
        <f>O58</f>
        <v>41</v>
      </c>
      <c r="I84" s="98">
        <f>P58</f>
        <v>275</v>
      </c>
      <c r="L84"/>
      <c r="M84"/>
      <c r="N84"/>
      <c r="P84"/>
      <c r="Q84"/>
    </row>
    <row r="85" spans="1:17" ht="60" x14ac:dyDescent="0.25">
      <c r="A85" s="19" t="str">
        <f>H63</f>
        <v>Specific output</v>
      </c>
      <c r="B85" s="100" t="str">
        <f>I63</f>
        <v>Researchers who have gone abroad to improve their professional knowledge
(Į užsienį tobulinti profesinių žinių išvykę tyrėjai)</v>
      </c>
      <c r="C85" s="96" t="str">
        <f>L63</f>
        <v>number</v>
      </c>
      <c r="D85" s="96">
        <v>0</v>
      </c>
      <c r="E85" s="100" t="s">
        <v>255</v>
      </c>
      <c r="F85" s="96" t="s">
        <v>25</v>
      </c>
      <c r="G85" s="96" t="s">
        <v>27</v>
      </c>
      <c r="H85" s="14">
        <f>O63</f>
        <v>11</v>
      </c>
      <c r="I85" s="20">
        <f>P63</f>
        <v>75</v>
      </c>
      <c r="L85"/>
      <c r="M85"/>
      <c r="N85"/>
      <c r="P85"/>
      <c r="Q85"/>
    </row>
    <row r="86" spans="1:17" ht="30" x14ac:dyDescent="0.25">
      <c r="A86" s="19" t="str">
        <f>H9</f>
        <v>RCR06</v>
      </c>
      <c r="B86" s="100" t="str">
        <f>I9</f>
        <v>Patent applications submitted (pateiktos patentų paraiškos)</v>
      </c>
      <c r="C86" s="100" t="str">
        <f>L9</f>
        <v>patent applications
(Patentų paraiškos)</v>
      </c>
      <c r="D86" s="96">
        <f>M9</f>
        <v>0</v>
      </c>
      <c r="E86" s="96" t="s">
        <v>67</v>
      </c>
      <c r="F86" s="96" t="s">
        <v>25</v>
      </c>
      <c r="G86" s="96">
        <v>2021</v>
      </c>
      <c r="H86" s="96" t="s">
        <v>27</v>
      </c>
      <c r="I86" s="20">
        <f>P9+P15+P31+P36</f>
        <v>123</v>
      </c>
      <c r="L86"/>
      <c r="M86"/>
      <c r="N86"/>
      <c r="P86"/>
      <c r="Q86"/>
    </row>
    <row r="87" spans="1:17" ht="30" x14ac:dyDescent="0.25">
      <c r="A87" s="19" t="str">
        <f>H21</f>
        <v>RCR06</v>
      </c>
      <c r="B87" s="100" t="str">
        <f>I21</f>
        <v>Patent applications submitted (pateiktos patentų paraiškos)</v>
      </c>
      <c r="C87" s="100" t="str">
        <f>L21</f>
        <v>patent applications
(Patentų paraiškos)</v>
      </c>
      <c r="D87" s="96">
        <f>M21</f>
        <v>0</v>
      </c>
      <c r="E87" s="100" t="s">
        <v>255</v>
      </c>
      <c r="F87" s="96" t="s">
        <v>25</v>
      </c>
      <c r="G87" s="96">
        <v>2021</v>
      </c>
      <c r="H87" s="96" t="s">
        <v>27</v>
      </c>
      <c r="I87" s="20">
        <f>P21+P27+P41+P46</f>
        <v>50</v>
      </c>
      <c r="L87"/>
      <c r="M87"/>
      <c r="N87"/>
      <c r="P87"/>
      <c r="Q87"/>
    </row>
    <row r="88" spans="1:17" ht="30" x14ac:dyDescent="0.25">
      <c r="A88" s="19" t="str">
        <f>H10</f>
        <v>RCR08</v>
      </c>
      <c r="B88" s="100" t="str">
        <f>I10</f>
        <v>Publications from supported projects (remiamų projektų leidiniai)</v>
      </c>
      <c r="C88" s="96" t="str">
        <f>L10</f>
        <v>publications</v>
      </c>
      <c r="D88" s="96">
        <f>M10</f>
        <v>0</v>
      </c>
      <c r="E88" s="96" t="s">
        <v>67</v>
      </c>
      <c r="F88" s="96" t="s">
        <v>25</v>
      </c>
      <c r="G88" s="96">
        <v>2021</v>
      </c>
      <c r="H88" s="96" t="s">
        <v>27</v>
      </c>
      <c r="I88" s="185">
        <f>P10+P16+P33+P38+P59</f>
        <v>852</v>
      </c>
      <c r="L88"/>
      <c r="M88"/>
      <c r="N88"/>
      <c r="P88"/>
      <c r="Q88"/>
    </row>
    <row r="89" spans="1:17" ht="30" x14ac:dyDescent="0.25">
      <c r="A89" s="19" t="str">
        <f>H22</f>
        <v>RCR08</v>
      </c>
      <c r="B89" s="100" t="str">
        <f>I22</f>
        <v>Publications from supported projects (remiamų projektų leidiniai)</v>
      </c>
      <c r="C89" s="100" t="str">
        <f>L22</f>
        <v>publications
(leidiniai)</v>
      </c>
      <c r="D89" s="96">
        <f>M22</f>
        <v>0</v>
      </c>
      <c r="E89" s="100" t="s">
        <v>255</v>
      </c>
      <c r="F89" s="96" t="s">
        <v>25</v>
      </c>
      <c r="G89" s="96">
        <v>2021</v>
      </c>
      <c r="H89" s="96" t="s">
        <v>27</v>
      </c>
      <c r="I89" s="20">
        <f>P22+P28+P43+P48+P64</f>
        <v>411</v>
      </c>
      <c r="L89"/>
      <c r="M89"/>
      <c r="N89"/>
      <c r="P89"/>
      <c r="Q89"/>
    </row>
    <row r="90" spans="1:17" ht="30" x14ac:dyDescent="0.25">
      <c r="A90" s="19" t="str">
        <f>H32</f>
        <v>Specific result</v>
      </c>
      <c r="B90" s="100" t="str">
        <f>I32</f>
        <v>R&amp;D activity product (MTEP veiklos produktas)</v>
      </c>
      <c r="C90" s="96" t="str">
        <f>L32</f>
        <v>number</v>
      </c>
      <c r="D90" s="96">
        <f>M32</f>
        <v>0</v>
      </c>
      <c r="E90" s="96" t="s">
        <v>67</v>
      </c>
      <c r="F90" s="96" t="s">
        <v>25</v>
      </c>
      <c r="G90" s="96">
        <v>2021</v>
      </c>
      <c r="H90" s="96" t="s">
        <v>27</v>
      </c>
      <c r="I90" s="20">
        <f>P32+P37</f>
        <v>28</v>
      </c>
      <c r="L90"/>
      <c r="M90"/>
      <c r="N90"/>
      <c r="P90"/>
      <c r="Q90"/>
    </row>
    <row r="91" spans="1:17" ht="30" x14ac:dyDescent="0.25">
      <c r="A91" s="19" t="str">
        <f>H42</f>
        <v>Specific result</v>
      </c>
      <c r="B91" s="100" t="str">
        <f>I42</f>
        <v>R&amp;D activity product (MTEP veiklos produktas)</v>
      </c>
      <c r="C91" s="96" t="str">
        <f>L42</f>
        <v>number</v>
      </c>
      <c r="D91" s="96">
        <f>M42</f>
        <v>0</v>
      </c>
      <c r="E91" s="100" t="s">
        <v>255</v>
      </c>
      <c r="F91" s="96" t="s">
        <v>25</v>
      </c>
      <c r="G91" s="96">
        <v>2021</v>
      </c>
      <c r="H91" s="96" t="s">
        <v>27</v>
      </c>
      <c r="I91" s="98">
        <f>P42+P47</f>
        <v>8</v>
      </c>
      <c r="L91"/>
      <c r="M91"/>
      <c r="N91"/>
      <c r="P91"/>
      <c r="Q91"/>
    </row>
    <row r="92" spans="1:17" ht="90" x14ac:dyDescent="0.25">
      <c r="A92" s="19" t="str">
        <f>H54</f>
        <v>Specific result</v>
      </c>
      <c r="B92" s="100" t="str">
        <f>I54</f>
        <v>The number of commissioned R&amp;D projects received by research and study institutions that were assigned investments (Investicijas gavusių mokslo ir studijų institucijų gautų MTEP užsakymų skaičius)</v>
      </c>
      <c r="C92" s="96" t="str">
        <f>L54</f>
        <v xml:space="preserve">
number</v>
      </c>
      <c r="D92" s="96">
        <f>M54</f>
        <v>0</v>
      </c>
      <c r="E92" s="100" t="s">
        <v>255</v>
      </c>
      <c r="F92" s="96" t="s">
        <v>25</v>
      </c>
      <c r="G92" s="96">
        <v>2021</v>
      </c>
      <c r="H92" s="96" t="s">
        <v>27</v>
      </c>
      <c r="I92" s="20">
        <f>P54</f>
        <v>85</v>
      </c>
      <c r="L92"/>
      <c r="M92"/>
      <c r="N92"/>
      <c r="P92"/>
      <c r="Q92"/>
    </row>
    <row r="93" spans="1:17" ht="90.75" thickBot="1" x14ac:dyDescent="0.3">
      <c r="A93" s="23" t="str">
        <f>H51</f>
        <v xml:space="preserve">Specific result </v>
      </c>
      <c r="B93" s="122" t="str">
        <f>I51</f>
        <v>The number of commissioned R&amp;D projects received by research and study institutions that were assigned investments (Investicijas gavusių mokslo ir studijų institucijų gautų MTEP užsakymų skaičius)</v>
      </c>
      <c r="C93" s="120" t="str">
        <f>L51</f>
        <v xml:space="preserve">
number</v>
      </c>
      <c r="D93" s="120">
        <f>M51</f>
        <v>0</v>
      </c>
      <c r="E93" s="120" t="s">
        <v>67</v>
      </c>
      <c r="F93" s="120" t="s">
        <v>25</v>
      </c>
      <c r="G93" s="120">
        <v>2021</v>
      </c>
      <c r="H93" s="120" t="s">
        <v>27</v>
      </c>
      <c r="I93" s="24">
        <f>P51</f>
        <v>140</v>
      </c>
      <c r="L93"/>
      <c r="M93"/>
      <c r="N93"/>
      <c r="P93"/>
      <c r="Q93"/>
    </row>
    <row r="94" spans="1:17" x14ac:dyDescent="0.25">
      <c r="D94">
        <f>SUM(D70:D93)</f>
        <v>0</v>
      </c>
      <c r="H94" s="3">
        <f>SUM(H70:H93)</f>
        <v>3660578</v>
      </c>
      <c r="I94" s="3">
        <f>SUM(I70:I93)</f>
        <v>36607254</v>
      </c>
      <c r="J94" t="b">
        <f>I94=P65</f>
        <v>1</v>
      </c>
      <c r="L94"/>
      <c r="M94"/>
      <c r="N94"/>
      <c r="P94"/>
      <c r="Q94"/>
    </row>
    <row r="95" spans="1:17" x14ac:dyDescent="0.25">
      <c r="H95" s="3"/>
      <c r="I95" s="3"/>
      <c r="L95"/>
      <c r="M95"/>
      <c r="N95"/>
      <c r="P95"/>
      <c r="Q95"/>
    </row>
  </sheetData>
  <mergeCells count="105">
    <mergeCell ref="S3:S4"/>
    <mergeCell ref="A55:A64"/>
    <mergeCell ref="B55:B59"/>
    <mergeCell ref="C55:C59"/>
    <mergeCell ref="D55:D64"/>
    <mergeCell ref="E55:E59"/>
    <mergeCell ref="F55:F59"/>
    <mergeCell ref="G55:G59"/>
    <mergeCell ref="J55:J59"/>
    <mergeCell ref="B60:B64"/>
    <mergeCell ref="C60:C64"/>
    <mergeCell ref="E60:E64"/>
    <mergeCell ref="F60:F64"/>
    <mergeCell ref="G60:G64"/>
    <mergeCell ref="J60:J64"/>
    <mergeCell ref="E49:E51"/>
    <mergeCell ref="F49:F51"/>
    <mergeCell ref="G49:G51"/>
    <mergeCell ref="J49:J51"/>
    <mergeCell ref="B52:B54"/>
    <mergeCell ref="C52:C54"/>
    <mergeCell ref="E52:E54"/>
    <mergeCell ref="F52:F54"/>
    <mergeCell ref="G52:G54"/>
    <mergeCell ref="J52:J54"/>
    <mergeCell ref="A5:A28"/>
    <mergeCell ref="B5:B10"/>
    <mergeCell ref="C5:C10"/>
    <mergeCell ref="D5:D10"/>
    <mergeCell ref="E5:E10"/>
    <mergeCell ref="F5:F10"/>
    <mergeCell ref="G5:G10"/>
    <mergeCell ref="J5:J16"/>
    <mergeCell ref="B23:B28"/>
    <mergeCell ref="C23:C28"/>
    <mergeCell ref="D23:D28"/>
    <mergeCell ref="G34:G38"/>
    <mergeCell ref="E39:E43"/>
    <mergeCell ref="B11:B16"/>
    <mergeCell ref="C11:C16"/>
    <mergeCell ref="D11:D16"/>
    <mergeCell ref="E11:E16"/>
    <mergeCell ref="F11:F16"/>
    <mergeCell ref="G11:G16"/>
    <mergeCell ref="B17:B22"/>
    <mergeCell ref="C17:C22"/>
    <mergeCell ref="D17:D22"/>
    <mergeCell ref="Q3:Q4"/>
    <mergeCell ref="R3:R4"/>
    <mergeCell ref="H3:I3"/>
    <mergeCell ref="J3:J4"/>
    <mergeCell ref="A29:A48"/>
    <mergeCell ref="C29:C33"/>
    <mergeCell ref="D29:D33"/>
    <mergeCell ref="B39:B43"/>
    <mergeCell ref="C39:C43"/>
    <mergeCell ref="D39:D43"/>
    <mergeCell ref="C3:C4"/>
    <mergeCell ref="D3:F3"/>
    <mergeCell ref="G3:G4"/>
    <mergeCell ref="E17:E22"/>
    <mergeCell ref="F17:F22"/>
    <mergeCell ref="G17:G22"/>
    <mergeCell ref="B44:B48"/>
    <mergeCell ref="C44:C48"/>
    <mergeCell ref="D44:D48"/>
    <mergeCell ref="E44:E48"/>
    <mergeCell ref="F44:F48"/>
    <mergeCell ref="G44:G48"/>
    <mergeCell ref="E34:E38"/>
    <mergeCell ref="F34:F38"/>
    <mergeCell ref="K3:K4"/>
    <mergeCell ref="L3:L4"/>
    <mergeCell ref="M3:N3"/>
    <mergeCell ref="O3:O4"/>
    <mergeCell ref="F39:F43"/>
    <mergeCell ref="G39:G43"/>
    <mergeCell ref="J39:J48"/>
    <mergeCell ref="K39:K48"/>
    <mergeCell ref="J17:J28"/>
    <mergeCell ref="K5:K16"/>
    <mergeCell ref="K60:K64"/>
    <mergeCell ref="K55:K59"/>
    <mergeCell ref="K52:K54"/>
    <mergeCell ref="K49:K51"/>
    <mergeCell ref="K29:K38"/>
    <mergeCell ref="K17:K28"/>
    <mergeCell ref="A3:A4"/>
    <mergeCell ref="B3:B4"/>
    <mergeCell ref="P3:P4"/>
    <mergeCell ref="A49:A54"/>
    <mergeCell ref="B49:B51"/>
    <mergeCell ref="C49:C51"/>
    <mergeCell ref="E23:E28"/>
    <mergeCell ref="F23:F28"/>
    <mergeCell ref="G23:G28"/>
    <mergeCell ref="B29:B33"/>
    <mergeCell ref="D49:D54"/>
    <mergeCell ref="E29:E33"/>
    <mergeCell ref="F29:F33"/>
    <mergeCell ref="G29:G33"/>
    <mergeCell ref="J29:J38"/>
    <mergeCell ref="B34:B38"/>
    <mergeCell ref="C34:C38"/>
    <mergeCell ref="D34:D38"/>
  </mergeCells>
  <pageMargins left="0.7" right="0.7" top="0.75" bottom="0.75" header="0.3" footer="0.3"/>
  <pageSetup paperSize="8" scale="4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3" sqref="C13"/>
    </sheetView>
  </sheetViews>
  <sheetFormatPr defaultColWidth="9.140625" defaultRowHeight="15" x14ac:dyDescent="0.25"/>
  <cols>
    <col min="2" max="2" width="32.5703125" customWidth="1"/>
    <col min="3" max="3" width="126.140625" customWidth="1"/>
  </cols>
  <sheetData>
    <row r="1" spans="1:3" x14ac:dyDescent="0.25">
      <c r="A1" s="5" t="s">
        <v>148</v>
      </c>
      <c r="B1" s="5" t="s">
        <v>149</v>
      </c>
      <c r="C1" s="5" t="s">
        <v>150</v>
      </c>
    </row>
    <row r="2" spans="1:3" x14ac:dyDescent="0.25">
      <c r="A2" s="5">
        <v>1</v>
      </c>
      <c r="B2" s="6" t="s">
        <v>60</v>
      </c>
      <c r="C2" s="6" t="s">
        <v>151</v>
      </c>
    </row>
    <row r="3" spans="1:3" ht="26.25" x14ac:dyDescent="0.25">
      <c r="A3" s="5">
        <f>A2+1</f>
        <v>2</v>
      </c>
      <c r="B3" s="6" t="s">
        <v>61</v>
      </c>
      <c r="C3" s="59" t="s">
        <v>322</v>
      </c>
    </row>
    <row r="4" spans="1:3" x14ac:dyDescent="0.25">
      <c r="A4" s="5">
        <f t="shared" ref="A4:A19" si="0">A3+1</f>
        <v>3</v>
      </c>
      <c r="B4" s="6" t="s">
        <v>152</v>
      </c>
      <c r="C4" s="9" t="s">
        <v>47</v>
      </c>
    </row>
    <row r="5" spans="1:3" x14ac:dyDescent="0.25">
      <c r="A5" s="5">
        <f t="shared" si="0"/>
        <v>4</v>
      </c>
      <c r="B5" s="6" t="s">
        <v>154</v>
      </c>
      <c r="C5" s="9" t="s">
        <v>155</v>
      </c>
    </row>
    <row r="6" spans="1:3" x14ac:dyDescent="0.25">
      <c r="A6" s="5">
        <f t="shared" si="0"/>
        <v>5</v>
      </c>
      <c r="B6" s="6" t="s">
        <v>10</v>
      </c>
      <c r="C6" s="9">
        <v>0</v>
      </c>
    </row>
    <row r="7" spans="1:3" x14ac:dyDescent="0.25">
      <c r="A7" s="5">
        <f t="shared" si="0"/>
        <v>6</v>
      </c>
      <c r="B7" s="6" t="s">
        <v>11</v>
      </c>
      <c r="C7" s="9" t="s">
        <v>27</v>
      </c>
    </row>
    <row r="8" spans="1:3" x14ac:dyDescent="0.25">
      <c r="A8" s="5">
        <f t="shared" si="0"/>
        <v>7</v>
      </c>
      <c r="B8" s="6" t="s">
        <v>12</v>
      </c>
      <c r="C8" s="9" t="s">
        <v>324</v>
      </c>
    </row>
    <row r="9" spans="1:3" x14ac:dyDescent="0.25">
      <c r="A9" s="5">
        <f t="shared" si="0"/>
        <v>8</v>
      </c>
      <c r="B9" s="6" t="s">
        <v>157</v>
      </c>
      <c r="C9" s="9" t="s">
        <v>158</v>
      </c>
    </row>
    <row r="10" spans="1:3" x14ac:dyDescent="0.25">
      <c r="A10" s="5">
        <f t="shared" si="0"/>
        <v>9</v>
      </c>
      <c r="B10" s="6" t="s">
        <v>159</v>
      </c>
      <c r="C10" s="7" t="s">
        <v>160</v>
      </c>
    </row>
    <row r="11" spans="1:3" ht="181.5" customHeight="1" x14ac:dyDescent="0.25">
      <c r="A11" s="5">
        <f t="shared" si="0"/>
        <v>10</v>
      </c>
      <c r="B11" s="6" t="s">
        <v>161</v>
      </c>
      <c r="C11" s="7" t="s">
        <v>325</v>
      </c>
    </row>
    <row r="12" spans="1:3" x14ac:dyDescent="0.25">
      <c r="A12" s="5">
        <f t="shared" si="0"/>
        <v>11</v>
      </c>
      <c r="B12" s="6" t="s">
        <v>163</v>
      </c>
      <c r="C12" s="7" t="s">
        <v>75</v>
      </c>
    </row>
    <row r="13" spans="1:3" ht="30.75" customHeight="1" x14ac:dyDescent="0.25">
      <c r="A13" s="5">
        <f t="shared" si="0"/>
        <v>12</v>
      </c>
      <c r="B13" s="6" t="s">
        <v>165</v>
      </c>
      <c r="C13" s="8" t="s">
        <v>326</v>
      </c>
    </row>
    <row r="14" spans="1:3" ht="31.5" customHeight="1" x14ac:dyDescent="0.25">
      <c r="A14" s="5">
        <f t="shared" si="0"/>
        <v>13</v>
      </c>
      <c r="B14" s="6" t="s">
        <v>167</v>
      </c>
      <c r="C14" s="7" t="s">
        <v>327</v>
      </c>
    </row>
    <row r="15" spans="1:3" ht="17.25" customHeight="1" x14ac:dyDescent="0.25">
      <c r="A15" s="5">
        <f t="shared" si="0"/>
        <v>14</v>
      </c>
      <c r="B15" s="6" t="s">
        <v>169</v>
      </c>
      <c r="C15" s="8" t="s">
        <v>170</v>
      </c>
    </row>
    <row r="16" spans="1:3" x14ac:dyDescent="0.25">
      <c r="A16" s="5">
        <f t="shared" si="0"/>
        <v>15</v>
      </c>
      <c r="B16" s="6" t="s">
        <v>171</v>
      </c>
      <c r="C16" s="8" t="s">
        <v>172</v>
      </c>
    </row>
    <row r="17" spans="1:4" x14ac:dyDescent="0.25">
      <c r="A17" s="5">
        <f t="shared" si="0"/>
        <v>16</v>
      </c>
      <c r="B17" s="6" t="s">
        <v>173</v>
      </c>
      <c r="C17" s="9" t="s">
        <v>189</v>
      </c>
    </row>
    <row r="18" spans="1:4" x14ac:dyDescent="0.25">
      <c r="A18" s="5">
        <f>A17+1</f>
        <v>17</v>
      </c>
      <c r="B18" s="6" t="s">
        <v>175</v>
      </c>
      <c r="C18" s="8" t="s">
        <v>323</v>
      </c>
      <c r="D18" s="58"/>
    </row>
    <row r="19" spans="1:4" x14ac:dyDescent="0.25">
      <c r="A19" s="5">
        <f t="shared" si="0"/>
        <v>18</v>
      </c>
      <c r="B19" s="6" t="s">
        <v>177</v>
      </c>
      <c r="C19" s="9"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I117"/>
  <sheetViews>
    <sheetView topLeftCell="A22" zoomScale="50" zoomScaleNormal="50" workbookViewId="0">
      <selection activeCell="P24" sqref="P24"/>
    </sheetView>
  </sheetViews>
  <sheetFormatPr defaultRowHeight="15" x14ac:dyDescent="0.25"/>
  <cols>
    <col min="1" max="1" width="19.28515625" customWidth="1"/>
    <col min="2" max="2" width="17.28515625" customWidth="1"/>
    <col min="3" max="3" width="16.140625" customWidth="1"/>
    <col min="4" max="4" width="18.28515625" customWidth="1"/>
    <col min="5" max="5" width="19.42578125" customWidth="1"/>
    <col min="6" max="6" width="16.85546875" customWidth="1"/>
    <col min="7" max="7" width="18.140625" customWidth="1"/>
    <col min="8" max="8" width="14.7109375" style="104" customWidth="1"/>
    <col min="9" max="9" width="27.7109375" customWidth="1"/>
    <col min="10" max="10" width="15.28515625" customWidth="1"/>
    <col min="11" max="11" width="14.28515625" customWidth="1"/>
    <col min="12" max="12" width="22.7109375" customWidth="1"/>
    <col min="13" max="13" width="17.5703125" customWidth="1"/>
    <col min="14" max="14" width="11.85546875" customWidth="1"/>
    <col min="15" max="15" width="14.28515625" customWidth="1"/>
    <col min="16" max="16" width="17.28515625" customWidth="1"/>
    <col min="17" max="17" width="14.85546875" customWidth="1"/>
    <col min="18" max="18" width="141.7109375" customWidth="1"/>
    <col min="19" max="19" width="99.7109375" customWidth="1"/>
  </cols>
  <sheetData>
    <row r="1" spans="1:35" ht="15" customHeight="1" x14ac:dyDescent="0.25">
      <c r="A1" s="311" t="s">
        <v>220</v>
      </c>
      <c r="B1" s="311"/>
      <c r="C1" s="311"/>
      <c r="D1" s="311"/>
      <c r="E1" s="311"/>
      <c r="F1" s="311"/>
      <c r="G1" s="311"/>
      <c r="H1" s="311"/>
    </row>
    <row r="2" spans="1:35" x14ac:dyDescent="0.25">
      <c r="A2" s="91" t="s">
        <v>318</v>
      </c>
    </row>
    <row r="3" spans="1:35" ht="15.75" thickBot="1" x14ac:dyDescent="0.3">
      <c r="A3" t="s">
        <v>68</v>
      </c>
    </row>
    <row r="4" spans="1:35" x14ac:dyDescent="0.25">
      <c r="A4" s="300" t="s">
        <v>69</v>
      </c>
      <c r="B4" s="195" t="s">
        <v>2</v>
      </c>
      <c r="C4" s="195" t="s">
        <v>3</v>
      </c>
      <c r="D4" s="302" t="s">
        <v>4</v>
      </c>
      <c r="E4" s="303"/>
      <c r="F4" s="303"/>
      <c r="G4" s="294" t="s">
        <v>70</v>
      </c>
      <c r="H4" s="310" t="s">
        <v>6</v>
      </c>
      <c r="I4" s="310"/>
      <c r="J4" s="294" t="s">
        <v>64</v>
      </c>
      <c r="K4" s="307" t="s">
        <v>8</v>
      </c>
      <c r="L4" s="294" t="s">
        <v>9</v>
      </c>
      <c r="M4" s="303" t="s">
        <v>10</v>
      </c>
      <c r="N4" s="309"/>
      <c r="O4" s="294" t="s">
        <v>11</v>
      </c>
      <c r="P4" s="294" t="s">
        <v>12</v>
      </c>
      <c r="Q4" s="304" t="s">
        <v>13</v>
      </c>
      <c r="R4" s="194" t="s">
        <v>71</v>
      </c>
      <c r="S4" s="247" t="s">
        <v>384</v>
      </c>
    </row>
    <row r="5" spans="1:35" ht="30.75" thickBot="1" x14ac:dyDescent="0.3">
      <c r="A5" s="301"/>
      <c r="B5" s="196"/>
      <c r="C5" s="196"/>
      <c r="D5" s="55" t="s">
        <v>15</v>
      </c>
      <c r="E5" s="54" t="s">
        <v>16</v>
      </c>
      <c r="F5" s="53" t="s">
        <v>17</v>
      </c>
      <c r="G5" s="295"/>
      <c r="H5" s="102" t="s">
        <v>18</v>
      </c>
      <c r="I5" s="103" t="s">
        <v>19</v>
      </c>
      <c r="J5" s="295"/>
      <c r="K5" s="308"/>
      <c r="L5" s="295"/>
      <c r="M5" s="52" t="s">
        <v>20</v>
      </c>
      <c r="N5" s="52" t="s">
        <v>21</v>
      </c>
      <c r="O5" s="295"/>
      <c r="P5" s="295"/>
      <c r="Q5" s="305"/>
      <c r="R5" s="194"/>
      <c r="S5" s="248"/>
    </row>
    <row r="6" spans="1:35" s="114" customFormat="1" ht="90" x14ac:dyDescent="0.25">
      <c r="A6" s="254" t="s">
        <v>72</v>
      </c>
      <c r="B6" s="282">
        <f>C6+E6</f>
        <v>58823529.411764704</v>
      </c>
      <c r="C6" s="259">
        <v>50000000</v>
      </c>
      <c r="D6" s="257" t="s">
        <v>226</v>
      </c>
      <c r="E6" s="280">
        <f>C6/0.85*0.15</f>
        <v>8823529.4117647056</v>
      </c>
      <c r="F6" s="259">
        <f>C6+E6</f>
        <v>58823529.411764704</v>
      </c>
      <c r="G6" s="259">
        <f>C6+E6</f>
        <v>58823529.411764704</v>
      </c>
      <c r="H6" s="78" t="s">
        <v>73</v>
      </c>
      <c r="I6" s="79" t="s">
        <v>74</v>
      </c>
      <c r="J6" s="257" t="s">
        <v>43</v>
      </c>
      <c r="K6" s="268" t="s">
        <v>25</v>
      </c>
      <c r="L6" s="78" t="s">
        <v>36</v>
      </c>
      <c r="M6" s="78">
        <v>0</v>
      </c>
      <c r="N6" s="78" t="s">
        <v>27</v>
      </c>
      <c r="O6" s="155">
        <v>420</v>
      </c>
      <c r="P6" s="70">
        <v>987</v>
      </c>
      <c r="Q6" s="71" t="s">
        <v>75</v>
      </c>
      <c r="R6" s="151" t="s">
        <v>369</v>
      </c>
      <c r="S6" s="164"/>
    </row>
    <row r="7" spans="1:35" s="114" customFormat="1" ht="204.95" customHeight="1" x14ac:dyDescent="0.25">
      <c r="A7" s="255"/>
      <c r="B7" s="283"/>
      <c r="C7" s="260"/>
      <c r="D7" s="226"/>
      <c r="E7" s="273"/>
      <c r="F7" s="260"/>
      <c r="G7" s="260"/>
      <c r="H7" s="72" t="s">
        <v>76</v>
      </c>
      <c r="I7" s="65" t="s">
        <v>77</v>
      </c>
      <c r="J7" s="226"/>
      <c r="K7" s="266"/>
      <c r="L7" s="72" t="s">
        <v>36</v>
      </c>
      <c r="M7" s="72">
        <v>0</v>
      </c>
      <c r="N7" s="72" t="s">
        <v>27</v>
      </c>
      <c r="O7" s="72">
        <v>191</v>
      </c>
      <c r="P7" s="73">
        <v>435</v>
      </c>
      <c r="Q7" s="74" t="s">
        <v>240</v>
      </c>
      <c r="R7" s="151" t="s">
        <v>328</v>
      </c>
      <c r="S7" s="164"/>
    </row>
    <row r="8" spans="1:35" s="114" customFormat="1" ht="204" customHeight="1" x14ac:dyDescent="0.25">
      <c r="A8" s="255"/>
      <c r="B8" s="283"/>
      <c r="C8" s="260"/>
      <c r="D8" s="226"/>
      <c r="E8" s="273"/>
      <c r="F8" s="260"/>
      <c r="G8" s="260"/>
      <c r="H8" s="32" t="s">
        <v>78</v>
      </c>
      <c r="I8" s="65" t="s">
        <v>79</v>
      </c>
      <c r="J8" s="226"/>
      <c r="K8" s="266"/>
      <c r="L8" s="72" t="s">
        <v>36</v>
      </c>
      <c r="M8" s="72">
        <v>0</v>
      </c>
      <c r="N8" s="72" t="s">
        <v>27</v>
      </c>
      <c r="O8" s="72">
        <v>0</v>
      </c>
      <c r="P8" s="75">
        <v>31</v>
      </c>
      <c r="Q8" s="74" t="s">
        <v>240</v>
      </c>
      <c r="R8" s="151" t="s">
        <v>329</v>
      </c>
      <c r="S8" s="164"/>
    </row>
    <row r="9" spans="1:35" s="114" customFormat="1" ht="186.75" customHeight="1" x14ac:dyDescent="0.25">
      <c r="A9" s="255"/>
      <c r="B9" s="283"/>
      <c r="C9" s="260"/>
      <c r="D9" s="226"/>
      <c r="E9" s="273"/>
      <c r="F9" s="260"/>
      <c r="G9" s="260"/>
      <c r="H9" s="72" t="s">
        <v>80</v>
      </c>
      <c r="I9" s="65" t="s">
        <v>81</v>
      </c>
      <c r="J9" s="226"/>
      <c r="K9" s="266"/>
      <c r="L9" s="72" t="s">
        <v>36</v>
      </c>
      <c r="M9" s="72">
        <v>0</v>
      </c>
      <c r="N9" s="72" t="s">
        <v>27</v>
      </c>
      <c r="O9" s="72">
        <v>229</v>
      </c>
      <c r="P9" s="75">
        <v>521</v>
      </c>
      <c r="Q9" s="74" t="s">
        <v>240</v>
      </c>
      <c r="R9" s="151" t="s">
        <v>330</v>
      </c>
      <c r="S9" s="164"/>
    </row>
    <row r="10" spans="1:35" s="114" customFormat="1" ht="92.25" customHeight="1" x14ac:dyDescent="0.25">
      <c r="A10" s="255"/>
      <c r="B10" s="283"/>
      <c r="C10" s="260"/>
      <c r="D10" s="226"/>
      <c r="E10" s="273"/>
      <c r="F10" s="260"/>
      <c r="G10" s="260"/>
      <c r="H10" s="72" t="s">
        <v>82</v>
      </c>
      <c r="I10" s="65" t="s">
        <v>83</v>
      </c>
      <c r="J10" s="226"/>
      <c r="K10" s="266"/>
      <c r="L10" s="72" t="s">
        <v>36</v>
      </c>
      <c r="M10" s="72">
        <v>0</v>
      </c>
      <c r="N10" s="72" t="s">
        <v>27</v>
      </c>
      <c r="O10" s="72">
        <v>420</v>
      </c>
      <c r="P10" s="72">
        <v>987</v>
      </c>
      <c r="Q10" s="74" t="s">
        <v>240</v>
      </c>
      <c r="R10" s="151" t="s">
        <v>370</v>
      </c>
      <c r="S10" s="164"/>
    </row>
    <row r="11" spans="1:35" s="114" customFormat="1" ht="211.5" customHeight="1" x14ac:dyDescent="0.25">
      <c r="A11" s="255"/>
      <c r="B11" s="283"/>
      <c r="C11" s="260"/>
      <c r="D11" s="226"/>
      <c r="E11" s="273"/>
      <c r="F11" s="260"/>
      <c r="G11" s="260"/>
      <c r="H11" s="72" t="s">
        <v>84</v>
      </c>
      <c r="I11" s="65" t="s">
        <v>85</v>
      </c>
      <c r="J11" s="226"/>
      <c r="K11" s="266"/>
      <c r="L11" s="72" t="s">
        <v>36</v>
      </c>
      <c r="M11" s="72">
        <v>0</v>
      </c>
      <c r="N11" s="72" t="s">
        <v>27</v>
      </c>
      <c r="O11" s="73">
        <v>420</v>
      </c>
      <c r="P11" s="76">
        <v>987</v>
      </c>
      <c r="Q11" s="74" t="s">
        <v>240</v>
      </c>
      <c r="R11" s="151" t="s">
        <v>371</v>
      </c>
      <c r="S11" s="164"/>
      <c r="T11" s="116"/>
      <c r="U11" s="117"/>
      <c r="V11" s="115"/>
      <c r="W11" s="115"/>
      <c r="X11" s="51"/>
      <c r="Y11" s="116"/>
      <c r="Z11" s="38"/>
      <c r="AA11" s="51"/>
      <c r="AB11" s="51"/>
      <c r="AC11" s="51"/>
      <c r="AD11" s="39"/>
      <c r="AE11" s="51"/>
      <c r="AF11" s="50"/>
      <c r="AG11" s="49"/>
      <c r="AH11" s="118"/>
      <c r="AI11" s="48"/>
    </row>
    <row r="12" spans="1:35" s="114" customFormat="1" ht="133.5" customHeight="1" x14ac:dyDescent="0.25">
      <c r="A12" s="255"/>
      <c r="B12" s="318"/>
      <c r="C12" s="260"/>
      <c r="D12" s="226"/>
      <c r="E12" s="273"/>
      <c r="F12" s="260"/>
      <c r="G12" s="260"/>
      <c r="H12" s="72" t="s">
        <v>86</v>
      </c>
      <c r="I12" s="65" t="s">
        <v>87</v>
      </c>
      <c r="J12" s="226"/>
      <c r="K12" s="266"/>
      <c r="L12" s="65" t="s">
        <v>313</v>
      </c>
      <c r="M12" s="72">
        <v>0</v>
      </c>
      <c r="N12" s="72">
        <v>2021</v>
      </c>
      <c r="O12" s="72" t="s">
        <v>27</v>
      </c>
      <c r="P12" s="75">
        <v>1742</v>
      </c>
      <c r="Q12" s="74" t="s">
        <v>240</v>
      </c>
      <c r="R12" s="151" t="s">
        <v>88</v>
      </c>
      <c r="S12" s="165"/>
      <c r="T12" s="116"/>
      <c r="U12" s="117"/>
      <c r="V12" s="115"/>
      <c r="W12" s="115"/>
      <c r="X12" s="51"/>
      <c r="Y12" s="116"/>
      <c r="Z12" s="38"/>
      <c r="AA12" s="51"/>
      <c r="AB12" s="51"/>
      <c r="AC12" s="51"/>
      <c r="AD12" s="39"/>
      <c r="AE12" s="51"/>
      <c r="AF12" s="50"/>
      <c r="AG12" s="49"/>
      <c r="AH12" s="118"/>
      <c r="AI12" s="48"/>
    </row>
    <row r="13" spans="1:35" s="114" customFormat="1" ht="225.75" customHeight="1" thickBot="1" x14ac:dyDescent="0.3">
      <c r="A13" s="255"/>
      <c r="B13" s="318"/>
      <c r="C13" s="260"/>
      <c r="D13" s="226"/>
      <c r="E13" s="273"/>
      <c r="F13" s="260"/>
      <c r="G13" s="260"/>
      <c r="H13" s="77" t="s">
        <v>89</v>
      </c>
      <c r="I13" s="113" t="s">
        <v>90</v>
      </c>
      <c r="J13" s="258"/>
      <c r="K13" s="267"/>
      <c r="L13" s="77" t="s">
        <v>91</v>
      </c>
      <c r="M13" s="77">
        <v>0</v>
      </c>
      <c r="N13" s="77">
        <v>2021</v>
      </c>
      <c r="O13" s="77" t="s">
        <v>27</v>
      </c>
      <c r="P13" s="158">
        <v>11285294</v>
      </c>
      <c r="Q13" s="74" t="s">
        <v>240</v>
      </c>
      <c r="R13" s="151" t="s">
        <v>227</v>
      </c>
      <c r="S13" s="165"/>
      <c r="T13" s="116"/>
      <c r="U13" s="117"/>
      <c r="V13" s="115"/>
      <c r="W13" s="115"/>
      <c r="X13" s="51"/>
      <c r="Y13" s="116"/>
      <c r="Z13" s="38"/>
      <c r="AA13" s="51"/>
      <c r="AB13" s="51"/>
      <c r="AC13" s="51"/>
      <c r="AD13" s="39"/>
      <c r="AE13" s="51"/>
      <c r="AF13" s="50"/>
      <c r="AG13" s="49"/>
      <c r="AH13" s="118"/>
      <c r="AI13" s="48"/>
    </row>
    <row r="14" spans="1:35" s="114" customFormat="1" ht="90" x14ac:dyDescent="0.25">
      <c r="A14" s="254" t="s">
        <v>92</v>
      </c>
      <c r="B14" s="281">
        <f>F14</f>
        <v>33375405.882352941</v>
      </c>
      <c r="C14" s="281">
        <v>28369095</v>
      </c>
      <c r="D14" s="257" t="s">
        <v>228</v>
      </c>
      <c r="E14" s="280">
        <f>C14/0.85*0.15</f>
        <v>5006310.8823529407</v>
      </c>
      <c r="F14" s="259">
        <f>C14+E14</f>
        <v>33375405.882352941</v>
      </c>
      <c r="G14" s="259">
        <f>C14+E14</f>
        <v>33375405.882352941</v>
      </c>
      <c r="H14" s="78" t="s">
        <v>73</v>
      </c>
      <c r="I14" s="79" t="s">
        <v>74</v>
      </c>
      <c r="J14" s="257" t="s">
        <v>43</v>
      </c>
      <c r="K14" s="268" t="s">
        <v>25</v>
      </c>
      <c r="L14" s="78" t="s">
        <v>36</v>
      </c>
      <c r="M14" s="78">
        <v>0</v>
      </c>
      <c r="N14" s="78" t="s">
        <v>27</v>
      </c>
      <c r="O14" s="78">
        <v>8</v>
      </c>
      <c r="P14" s="78">
        <v>127</v>
      </c>
      <c r="Q14" s="79" t="s">
        <v>75</v>
      </c>
      <c r="R14" s="151" t="s">
        <v>331</v>
      </c>
      <c r="S14" s="165"/>
      <c r="T14" s="116"/>
      <c r="U14" s="117"/>
      <c r="V14" s="115"/>
      <c r="W14" s="115"/>
      <c r="X14" s="51"/>
      <c r="Y14" s="116"/>
      <c r="Z14" s="38"/>
      <c r="AA14" s="51"/>
      <c r="AB14" s="51"/>
      <c r="AC14" s="51"/>
      <c r="AD14" s="39"/>
      <c r="AE14" s="51"/>
      <c r="AF14" s="50"/>
      <c r="AG14" s="49"/>
      <c r="AH14" s="118"/>
      <c r="AI14" s="48"/>
    </row>
    <row r="15" spans="1:35" s="114" customFormat="1" ht="202.5" customHeight="1" x14ac:dyDescent="0.25">
      <c r="A15" s="255"/>
      <c r="B15" s="275"/>
      <c r="C15" s="275"/>
      <c r="D15" s="226"/>
      <c r="E15" s="273"/>
      <c r="F15" s="260"/>
      <c r="G15" s="260"/>
      <c r="H15" s="72" t="s">
        <v>76</v>
      </c>
      <c r="I15" s="65" t="s">
        <v>77</v>
      </c>
      <c r="J15" s="226"/>
      <c r="K15" s="266"/>
      <c r="L15" s="72" t="s">
        <v>36</v>
      </c>
      <c r="M15" s="72">
        <v>0</v>
      </c>
      <c r="N15" s="72" t="s">
        <v>27</v>
      </c>
      <c r="O15" s="73">
        <v>8</v>
      </c>
      <c r="P15" s="72">
        <v>127</v>
      </c>
      <c r="Q15" s="74" t="s">
        <v>240</v>
      </c>
      <c r="R15" s="151" t="s">
        <v>332</v>
      </c>
      <c r="S15" s="165"/>
      <c r="T15" s="116"/>
      <c r="U15" s="117"/>
      <c r="V15" s="115"/>
      <c r="W15" s="115"/>
      <c r="X15" s="51"/>
      <c r="Y15" s="116"/>
      <c r="Z15" s="38"/>
      <c r="AA15" s="51"/>
      <c r="AB15" s="51"/>
      <c r="AC15" s="51"/>
      <c r="AD15" s="39"/>
      <c r="AE15" s="51"/>
      <c r="AF15" s="50"/>
      <c r="AG15" s="49"/>
      <c r="AH15" s="118"/>
      <c r="AI15" s="48"/>
    </row>
    <row r="16" spans="1:35" s="114" customFormat="1" ht="138" customHeight="1" x14ac:dyDescent="0.25">
      <c r="A16" s="255"/>
      <c r="B16" s="275"/>
      <c r="C16" s="275"/>
      <c r="D16" s="226"/>
      <c r="E16" s="273"/>
      <c r="F16" s="260"/>
      <c r="G16" s="260"/>
      <c r="H16" s="72" t="s">
        <v>89</v>
      </c>
      <c r="I16" s="65" t="s">
        <v>93</v>
      </c>
      <c r="J16" s="226"/>
      <c r="K16" s="266"/>
      <c r="L16" s="72" t="s">
        <v>91</v>
      </c>
      <c r="M16" s="72">
        <v>0</v>
      </c>
      <c r="N16" s="72">
        <v>2021</v>
      </c>
      <c r="O16" s="72" t="s">
        <v>27</v>
      </c>
      <c r="P16" s="75">
        <v>21401247</v>
      </c>
      <c r="Q16" s="74" t="s">
        <v>240</v>
      </c>
      <c r="R16" s="151" t="s">
        <v>94</v>
      </c>
      <c r="S16" s="165"/>
      <c r="T16" s="116"/>
      <c r="U16" s="117"/>
      <c r="V16" s="115"/>
      <c r="W16" s="115"/>
      <c r="X16" s="51"/>
      <c r="Y16" s="116"/>
      <c r="Z16" s="38"/>
      <c r="AA16" s="51"/>
      <c r="AB16" s="51"/>
      <c r="AC16" s="51"/>
      <c r="AD16" s="39"/>
      <c r="AE16" s="51"/>
      <c r="AF16" s="50"/>
      <c r="AG16" s="49"/>
      <c r="AH16" s="118"/>
      <c r="AI16" s="48"/>
    </row>
    <row r="17" spans="1:35" s="114" customFormat="1" ht="135.94999999999999" customHeight="1" thickBot="1" x14ac:dyDescent="0.3">
      <c r="A17" s="255"/>
      <c r="B17" s="276"/>
      <c r="C17" s="276"/>
      <c r="D17" s="226"/>
      <c r="E17" s="274"/>
      <c r="F17" s="261"/>
      <c r="G17" s="261"/>
      <c r="H17" s="80" t="s">
        <v>95</v>
      </c>
      <c r="I17" s="81" t="s">
        <v>96</v>
      </c>
      <c r="J17" s="258"/>
      <c r="K17" s="267"/>
      <c r="L17" s="81" t="s">
        <v>313</v>
      </c>
      <c r="M17" s="80">
        <v>0</v>
      </c>
      <c r="N17" s="80">
        <v>2021</v>
      </c>
      <c r="O17" s="80" t="s">
        <v>27</v>
      </c>
      <c r="P17" s="80">
        <v>29</v>
      </c>
      <c r="Q17" s="74" t="s">
        <v>240</v>
      </c>
      <c r="R17" s="151" t="s">
        <v>97</v>
      </c>
      <c r="S17" s="165"/>
      <c r="T17" s="116"/>
      <c r="U17" s="117"/>
      <c r="V17" s="115"/>
      <c r="W17" s="115"/>
      <c r="X17" s="51"/>
      <c r="Y17" s="116"/>
      <c r="Z17" s="38"/>
      <c r="AA17" s="51"/>
      <c r="AB17" s="51"/>
      <c r="AC17" s="51"/>
      <c r="AD17" s="39"/>
      <c r="AE17" s="51"/>
      <c r="AF17" s="50"/>
      <c r="AG17" s="49"/>
      <c r="AH17" s="118"/>
      <c r="AI17" s="48"/>
    </row>
    <row r="18" spans="1:35" s="114" customFormat="1" ht="90" x14ac:dyDescent="0.25">
      <c r="A18" s="255"/>
      <c r="B18" s="262">
        <f>F18</f>
        <v>26945612</v>
      </c>
      <c r="C18" s="260">
        <v>13472806</v>
      </c>
      <c r="D18" s="226"/>
      <c r="E18" s="280">
        <f>C18/0.5*0.5</f>
        <v>13472806</v>
      </c>
      <c r="F18" s="259">
        <f>C18+E18</f>
        <v>26945612</v>
      </c>
      <c r="G18" s="259">
        <f>C18+E18</f>
        <v>26945612</v>
      </c>
      <c r="H18" s="78" t="s">
        <v>73</v>
      </c>
      <c r="I18" s="79" t="s">
        <v>98</v>
      </c>
      <c r="J18" s="217" t="s">
        <v>67</v>
      </c>
      <c r="K18" s="277" t="s">
        <v>25</v>
      </c>
      <c r="L18" s="78" t="s">
        <v>36</v>
      </c>
      <c r="M18" s="78">
        <v>0</v>
      </c>
      <c r="N18" s="78" t="s">
        <v>27</v>
      </c>
      <c r="O18" s="78">
        <v>0</v>
      </c>
      <c r="P18" s="78">
        <v>21</v>
      </c>
      <c r="Q18" s="79" t="s">
        <v>75</v>
      </c>
      <c r="R18" s="151" t="s">
        <v>333</v>
      </c>
      <c r="S18" s="165"/>
      <c r="T18" s="116"/>
      <c r="U18" s="117"/>
      <c r="V18" s="115"/>
      <c r="W18" s="115"/>
      <c r="X18" s="51"/>
      <c r="Y18" s="116"/>
      <c r="Z18" s="38"/>
      <c r="AA18" s="51"/>
      <c r="AB18" s="51"/>
      <c r="AC18" s="51"/>
      <c r="AD18" s="39"/>
      <c r="AE18" s="51"/>
      <c r="AF18" s="50"/>
      <c r="AG18" s="49"/>
      <c r="AH18" s="118"/>
      <c r="AI18" s="48"/>
    </row>
    <row r="19" spans="1:35" s="114" customFormat="1" ht="207" customHeight="1" x14ac:dyDescent="0.25">
      <c r="A19" s="255"/>
      <c r="B19" s="275"/>
      <c r="C19" s="260"/>
      <c r="D19" s="226"/>
      <c r="E19" s="273"/>
      <c r="F19" s="260"/>
      <c r="G19" s="260"/>
      <c r="H19" s="32" t="s">
        <v>78</v>
      </c>
      <c r="I19" s="65" t="s">
        <v>79</v>
      </c>
      <c r="J19" s="218"/>
      <c r="K19" s="278"/>
      <c r="L19" s="72" t="s">
        <v>36</v>
      </c>
      <c r="M19" s="72">
        <v>0</v>
      </c>
      <c r="N19" s="72" t="s">
        <v>27</v>
      </c>
      <c r="O19" s="73">
        <v>0</v>
      </c>
      <c r="P19" s="72">
        <v>21</v>
      </c>
      <c r="Q19" s="74" t="s">
        <v>240</v>
      </c>
      <c r="R19" s="151" t="s">
        <v>334</v>
      </c>
      <c r="S19" s="165"/>
      <c r="T19" s="116"/>
      <c r="U19" s="117"/>
      <c r="V19" s="115"/>
      <c r="W19" s="115"/>
      <c r="X19" s="51"/>
      <c r="Y19" s="116"/>
      <c r="Z19" s="38"/>
      <c r="AA19" s="51"/>
      <c r="AB19" s="51"/>
      <c r="AC19" s="51"/>
      <c r="AD19" s="39"/>
      <c r="AE19" s="51"/>
      <c r="AF19" s="50"/>
      <c r="AG19" s="49"/>
      <c r="AH19" s="118"/>
      <c r="AI19" s="48"/>
    </row>
    <row r="20" spans="1:35" s="114" customFormat="1" ht="120" x14ac:dyDescent="0.25">
      <c r="A20" s="255"/>
      <c r="B20" s="275"/>
      <c r="C20" s="260"/>
      <c r="D20" s="226"/>
      <c r="E20" s="273"/>
      <c r="F20" s="260"/>
      <c r="G20" s="260"/>
      <c r="H20" s="72" t="s">
        <v>89</v>
      </c>
      <c r="I20" s="65" t="s">
        <v>93</v>
      </c>
      <c r="J20" s="218"/>
      <c r="K20" s="278"/>
      <c r="L20" s="72" t="s">
        <v>91</v>
      </c>
      <c r="M20" s="72">
        <v>0</v>
      </c>
      <c r="N20" s="72">
        <v>2021</v>
      </c>
      <c r="O20" s="72" t="s">
        <v>27</v>
      </c>
      <c r="P20" s="75">
        <v>20209209</v>
      </c>
      <c r="Q20" s="74" t="s">
        <v>240</v>
      </c>
      <c r="R20" s="151" t="s">
        <v>99</v>
      </c>
      <c r="S20" s="165"/>
      <c r="T20" s="116"/>
      <c r="U20" s="117"/>
      <c r="V20" s="115"/>
      <c r="W20" s="115"/>
      <c r="X20" s="51"/>
      <c r="Y20" s="116"/>
      <c r="Z20" s="38"/>
      <c r="AA20" s="51"/>
      <c r="AB20" s="51"/>
      <c r="AC20" s="51"/>
      <c r="AD20" s="39"/>
      <c r="AE20" s="51"/>
      <c r="AF20" s="50"/>
      <c r="AG20" s="49"/>
      <c r="AH20" s="118"/>
      <c r="AI20" s="48"/>
    </row>
    <row r="21" spans="1:35" s="114" customFormat="1" ht="131.25" customHeight="1" thickBot="1" x14ac:dyDescent="0.3">
      <c r="A21" s="255"/>
      <c r="B21" s="276"/>
      <c r="C21" s="261"/>
      <c r="D21" s="258"/>
      <c r="E21" s="274"/>
      <c r="F21" s="261"/>
      <c r="G21" s="261"/>
      <c r="H21" s="80" t="s">
        <v>95</v>
      </c>
      <c r="I21" s="81" t="s">
        <v>96</v>
      </c>
      <c r="J21" s="253"/>
      <c r="K21" s="279"/>
      <c r="L21" s="81" t="s">
        <v>313</v>
      </c>
      <c r="M21" s="80">
        <v>0</v>
      </c>
      <c r="N21" s="80">
        <v>2021</v>
      </c>
      <c r="O21" s="80" t="s">
        <v>27</v>
      </c>
      <c r="P21" s="80">
        <v>23</v>
      </c>
      <c r="Q21" s="74" t="s">
        <v>240</v>
      </c>
      <c r="R21" s="151" t="s">
        <v>100</v>
      </c>
      <c r="S21" s="165"/>
      <c r="T21" s="116"/>
      <c r="U21" s="117"/>
      <c r="V21" s="115"/>
      <c r="W21" s="115"/>
      <c r="X21" s="51"/>
      <c r="Y21" s="116"/>
      <c r="Z21" s="38"/>
      <c r="AA21" s="51"/>
      <c r="AB21" s="51"/>
      <c r="AC21" s="51"/>
      <c r="AD21" s="39"/>
      <c r="AE21" s="51"/>
      <c r="AF21" s="50"/>
      <c r="AG21" s="49"/>
      <c r="AH21" s="118"/>
      <c r="AI21" s="48"/>
    </row>
    <row r="22" spans="1:35" s="114" customFormat="1" ht="90" x14ac:dyDescent="0.25">
      <c r="A22" s="255"/>
      <c r="B22" s="262">
        <f>F22</f>
        <v>74614984.705882356</v>
      </c>
      <c r="C22" s="312">
        <f>70922737-7500000</f>
        <v>63422737</v>
      </c>
      <c r="D22" s="257" t="s">
        <v>229</v>
      </c>
      <c r="E22" s="315">
        <f>C22/0.85*0.15</f>
        <v>11192247.705882354</v>
      </c>
      <c r="F22" s="296">
        <f>C22+E22</f>
        <v>74614984.705882356</v>
      </c>
      <c r="G22" s="296">
        <f>C22+E22</f>
        <v>74614984.705882356</v>
      </c>
      <c r="H22" s="172" t="s">
        <v>73</v>
      </c>
      <c r="I22" s="173" t="s">
        <v>74</v>
      </c>
      <c r="J22" s="217" t="s">
        <v>43</v>
      </c>
      <c r="K22" s="277" t="s">
        <v>25</v>
      </c>
      <c r="L22" s="78" t="s">
        <v>36</v>
      </c>
      <c r="M22" s="78">
        <v>0</v>
      </c>
      <c r="N22" s="78" t="s">
        <v>27</v>
      </c>
      <c r="O22" s="172">
        <v>71</v>
      </c>
      <c r="P22" s="172">
        <v>310</v>
      </c>
      <c r="Q22" s="79" t="s">
        <v>75</v>
      </c>
      <c r="R22" s="151" t="s">
        <v>335</v>
      </c>
      <c r="S22" s="171" t="s">
        <v>376</v>
      </c>
      <c r="T22" s="116"/>
      <c r="U22" s="117"/>
      <c r="V22" s="115"/>
      <c r="W22" s="115"/>
      <c r="X22" s="51"/>
      <c r="Y22" s="116"/>
      <c r="Z22" s="38"/>
      <c r="AA22" s="51"/>
      <c r="AB22" s="51"/>
      <c r="AC22" s="51"/>
      <c r="AD22" s="39"/>
      <c r="AE22" s="51"/>
      <c r="AF22" s="50"/>
      <c r="AG22" s="49"/>
      <c r="AH22" s="118"/>
      <c r="AI22" s="48"/>
    </row>
    <row r="23" spans="1:35" s="114" customFormat="1" ht="218.25" customHeight="1" x14ac:dyDescent="0.25">
      <c r="A23" s="255"/>
      <c r="B23" s="275"/>
      <c r="C23" s="313"/>
      <c r="D23" s="226"/>
      <c r="E23" s="316"/>
      <c r="F23" s="297"/>
      <c r="G23" s="297"/>
      <c r="H23" s="174" t="s">
        <v>76</v>
      </c>
      <c r="I23" s="175" t="s">
        <v>77</v>
      </c>
      <c r="J23" s="218"/>
      <c r="K23" s="278"/>
      <c r="L23" s="72" t="s">
        <v>36</v>
      </c>
      <c r="M23" s="72">
        <v>0</v>
      </c>
      <c r="N23" s="72" t="s">
        <v>27</v>
      </c>
      <c r="O23" s="178">
        <v>71</v>
      </c>
      <c r="P23" s="174">
        <v>310</v>
      </c>
      <c r="Q23" s="74" t="s">
        <v>240</v>
      </c>
      <c r="R23" s="151" t="s">
        <v>336</v>
      </c>
      <c r="S23" s="171" t="s">
        <v>377</v>
      </c>
      <c r="T23" s="116"/>
      <c r="U23" s="117"/>
      <c r="V23" s="115"/>
      <c r="W23" s="115"/>
      <c r="X23" s="51"/>
      <c r="Y23" s="116"/>
      <c r="Z23" s="38"/>
      <c r="AA23" s="51"/>
      <c r="AB23" s="51"/>
      <c r="AC23" s="51"/>
      <c r="AD23" s="39"/>
      <c r="AE23" s="51"/>
      <c r="AF23" s="50"/>
      <c r="AG23" s="49"/>
      <c r="AH23" s="118"/>
      <c r="AI23" s="48"/>
    </row>
    <row r="24" spans="1:35" s="114" customFormat="1" ht="120" x14ac:dyDescent="0.25">
      <c r="A24" s="255"/>
      <c r="B24" s="275"/>
      <c r="C24" s="313"/>
      <c r="D24" s="226"/>
      <c r="E24" s="316"/>
      <c r="F24" s="297"/>
      <c r="G24" s="297"/>
      <c r="H24" s="174" t="s">
        <v>89</v>
      </c>
      <c r="I24" s="175" t="s">
        <v>90</v>
      </c>
      <c r="J24" s="218"/>
      <c r="K24" s="278"/>
      <c r="L24" s="72" t="s">
        <v>91</v>
      </c>
      <c r="M24" s="72">
        <v>0</v>
      </c>
      <c r="N24" s="72">
        <v>2021</v>
      </c>
      <c r="O24" s="174" t="s">
        <v>27</v>
      </c>
      <c r="P24" s="179">
        <v>58544065</v>
      </c>
      <c r="Q24" s="74" t="s">
        <v>240</v>
      </c>
      <c r="R24" s="151" t="s">
        <v>101</v>
      </c>
      <c r="S24" s="171" t="s">
        <v>378</v>
      </c>
      <c r="T24" s="116"/>
      <c r="U24" s="117"/>
      <c r="V24" s="115"/>
      <c r="W24" s="115"/>
      <c r="X24" s="51"/>
      <c r="Y24" s="116"/>
      <c r="Z24" s="38"/>
      <c r="AA24" s="51"/>
      <c r="AB24" s="51"/>
      <c r="AC24" s="51"/>
      <c r="AD24" s="39"/>
      <c r="AE24" s="51"/>
      <c r="AF24" s="50"/>
      <c r="AG24" s="49"/>
      <c r="AH24" s="118"/>
      <c r="AI24" s="48"/>
    </row>
    <row r="25" spans="1:35" s="114" customFormat="1" ht="174.6" customHeight="1" thickBot="1" x14ac:dyDescent="0.3">
      <c r="A25" s="255"/>
      <c r="B25" s="276"/>
      <c r="C25" s="314"/>
      <c r="D25" s="226"/>
      <c r="E25" s="317"/>
      <c r="F25" s="298"/>
      <c r="G25" s="298"/>
      <c r="H25" s="176" t="s">
        <v>95</v>
      </c>
      <c r="I25" s="177" t="s">
        <v>96</v>
      </c>
      <c r="J25" s="253"/>
      <c r="K25" s="279"/>
      <c r="L25" s="81" t="s">
        <v>313</v>
      </c>
      <c r="M25" s="80">
        <v>0</v>
      </c>
      <c r="N25" s="80">
        <v>2021</v>
      </c>
      <c r="O25" s="176" t="s">
        <v>27</v>
      </c>
      <c r="P25" s="176">
        <v>71</v>
      </c>
      <c r="Q25" s="74" t="s">
        <v>240</v>
      </c>
      <c r="R25" s="151" t="s">
        <v>102</v>
      </c>
      <c r="S25" s="171" t="s">
        <v>379</v>
      </c>
      <c r="T25" s="116"/>
      <c r="U25" s="117"/>
      <c r="V25" s="115"/>
      <c r="W25" s="115"/>
      <c r="X25" s="51"/>
      <c r="Y25" s="116"/>
      <c r="Z25" s="38"/>
      <c r="AA25" s="51"/>
      <c r="AB25" s="51"/>
      <c r="AC25" s="51"/>
      <c r="AD25" s="39"/>
      <c r="AE25" s="51"/>
      <c r="AF25" s="50"/>
      <c r="AG25" s="49"/>
      <c r="AH25" s="118"/>
      <c r="AI25" s="48"/>
    </row>
    <row r="26" spans="1:35" s="114" customFormat="1" ht="90" x14ac:dyDescent="0.25">
      <c r="A26" s="255"/>
      <c r="B26" s="262">
        <f>F26</f>
        <v>64669472</v>
      </c>
      <c r="C26" s="260">
        <v>32334736</v>
      </c>
      <c r="D26" s="226"/>
      <c r="E26" s="259">
        <f>C26/0.5*0.5</f>
        <v>32334736</v>
      </c>
      <c r="F26" s="259">
        <f>C26+E26</f>
        <v>64669472</v>
      </c>
      <c r="G26" s="259">
        <f>C26+E26</f>
        <v>64669472</v>
      </c>
      <c r="H26" s="78" t="s">
        <v>73</v>
      </c>
      <c r="I26" s="79" t="s">
        <v>74</v>
      </c>
      <c r="J26" s="217" t="s">
        <v>67</v>
      </c>
      <c r="K26" s="277" t="s">
        <v>25</v>
      </c>
      <c r="L26" s="78" t="s">
        <v>36</v>
      </c>
      <c r="M26" s="78">
        <v>0</v>
      </c>
      <c r="N26" s="78" t="s">
        <v>27</v>
      </c>
      <c r="O26" s="148">
        <v>0</v>
      </c>
      <c r="P26" s="78">
        <v>51</v>
      </c>
      <c r="Q26" s="79" t="s">
        <v>75</v>
      </c>
      <c r="R26" s="151" t="s">
        <v>337</v>
      </c>
      <c r="S26" s="168"/>
      <c r="T26" s="116"/>
      <c r="U26" s="117"/>
      <c r="V26" s="115"/>
      <c r="W26" s="115"/>
      <c r="X26" s="51"/>
      <c r="Y26" s="116"/>
      <c r="Z26" s="38"/>
      <c r="AA26" s="51"/>
      <c r="AB26" s="51"/>
      <c r="AC26" s="51"/>
      <c r="AD26" s="39"/>
      <c r="AE26" s="51"/>
      <c r="AF26" s="50"/>
      <c r="AG26" s="49"/>
      <c r="AH26" s="118"/>
      <c r="AI26" s="48"/>
    </row>
    <row r="27" spans="1:35" s="114" customFormat="1" ht="174" customHeight="1" x14ac:dyDescent="0.25">
      <c r="A27" s="255"/>
      <c r="B27" s="275"/>
      <c r="C27" s="260"/>
      <c r="D27" s="226"/>
      <c r="E27" s="260"/>
      <c r="F27" s="260"/>
      <c r="G27" s="260"/>
      <c r="H27" s="32" t="s">
        <v>78</v>
      </c>
      <c r="I27" s="65" t="s">
        <v>79</v>
      </c>
      <c r="J27" s="218"/>
      <c r="K27" s="278"/>
      <c r="L27" s="72" t="s">
        <v>36</v>
      </c>
      <c r="M27" s="72">
        <v>0</v>
      </c>
      <c r="N27" s="72" t="s">
        <v>27</v>
      </c>
      <c r="O27" s="72">
        <v>0</v>
      </c>
      <c r="P27" s="72">
        <v>51</v>
      </c>
      <c r="Q27" s="74" t="s">
        <v>240</v>
      </c>
      <c r="R27" s="151" t="s">
        <v>338</v>
      </c>
      <c r="S27" s="167"/>
      <c r="T27" s="116"/>
      <c r="U27" s="117"/>
      <c r="V27" s="115"/>
      <c r="W27" s="115"/>
      <c r="X27" s="51"/>
      <c r="Y27" s="116"/>
      <c r="Z27" s="38"/>
      <c r="AA27" s="51"/>
      <c r="AB27" s="51"/>
      <c r="AC27" s="51"/>
      <c r="AD27" s="39"/>
      <c r="AE27" s="51"/>
      <c r="AF27" s="50"/>
      <c r="AG27" s="49"/>
      <c r="AH27" s="118"/>
      <c r="AI27" s="48"/>
    </row>
    <row r="28" spans="1:35" s="114" customFormat="1" ht="120" x14ac:dyDescent="0.25">
      <c r="A28" s="255"/>
      <c r="B28" s="275"/>
      <c r="C28" s="260"/>
      <c r="D28" s="226"/>
      <c r="E28" s="260"/>
      <c r="F28" s="260"/>
      <c r="G28" s="260"/>
      <c r="H28" s="72" t="s">
        <v>89</v>
      </c>
      <c r="I28" s="65" t="s">
        <v>90</v>
      </c>
      <c r="J28" s="218"/>
      <c r="K28" s="278"/>
      <c r="L28" s="72" t="s">
        <v>91</v>
      </c>
      <c r="M28" s="72">
        <v>0</v>
      </c>
      <c r="N28" s="72">
        <v>2021</v>
      </c>
      <c r="O28" s="72" t="s">
        <v>27</v>
      </c>
      <c r="P28" s="75">
        <v>48502104</v>
      </c>
      <c r="Q28" s="74" t="s">
        <v>240</v>
      </c>
      <c r="R28" s="151" t="s">
        <v>103</v>
      </c>
      <c r="S28" s="167"/>
      <c r="T28" s="116"/>
      <c r="U28" s="117"/>
      <c r="V28" s="115"/>
      <c r="W28" s="115"/>
      <c r="X28" s="51"/>
      <c r="Y28" s="116"/>
      <c r="Z28" s="38"/>
      <c r="AA28" s="51"/>
      <c r="AB28" s="51"/>
      <c r="AC28" s="51"/>
      <c r="AD28" s="39"/>
      <c r="AE28" s="51"/>
      <c r="AF28" s="50"/>
      <c r="AG28" s="49"/>
      <c r="AH28" s="118"/>
      <c r="AI28" s="48"/>
    </row>
    <row r="29" spans="1:35" s="114" customFormat="1" ht="120.95" customHeight="1" thickBot="1" x14ac:dyDescent="0.3">
      <c r="A29" s="255"/>
      <c r="B29" s="276"/>
      <c r="C29" s="261"/>
      <c r="D29" s="258"/>
      <c r="E29" s="261"/>
      <c r="F29" s="261"/>
      <c r="G29" s="261"/>
      <c r="H29" s="80" t="s">
        <v>95</v>
      </c>
      <c r="I29" s="81" t="s">
        <v>96</v>
      </c>
      <c r="J29" s="253"/>
      <c r="K29" s="279"/>
      <c r="L29" s="81" t="s">
        <v>313</v>
      </c>
      <c r="M29" s="80">
        <v>0</v>
      </c>
      <c r="N29" s="80">
        <v>2021</v>
      </c>
      <c r="O29" s="80" t="s">
        <v>27</v>
      </c>
      <c r="P29" s="80">
        <v>55</v>
      </c>
      <c r="Q29" s="74" t="s">
        <v>240</v>
      </c>
      <c r="R29" s="151" t="s">
        <v>104</v>
      </c>
      <c r="S29" s="167"/>
      <c r="T29" s="116"/>
      <c r="U29" s="117"/>
      <c r="V29" s="115"/>
      <c r="W29" s="115"/>
      <c r="X29" s="51"/>
      <c r="Y29" s="116"/>
      <c r="Z29" s="38"/>
      <c r="AA29" s="51"/>
      <c r="AB29" s="51"/>
      <c r="AC29" s="51"/>
      <c r="AD29" s="39"/>
      <c r="AE29" s="51"/>
      <c r="AF29" s="50"/>
      <c r="AG29" s="49"/>
      <c r="AH29" s="118"/>
      <c r="AI29" s="48"/>
    </row>
    <row r="30" spans="1:35" s="114" customFormat="1" ht="157.5" customHeight="1" x14ac:dyDescent="0.25">
      <c r="A30" s="255"/>
      <c r="B30" s="262">
        <f>F30</f>
        <v>16687703.529411765</v>
      </c>
      <c r="C30" s="260">
        <v>14184548</v>
      </c>
      <c r="D30" s="257" t="s">
        <v>230</v>
      </c>
      <c r="E30" s="259">
        <f>C30/0.85*0.15</f>
        <v>2503155.5294117648</v>
      </c>
      <c r="F30" s="259">
        <f>C30+E30</f>
        <v>16687703.529411765</v>
      </c>
      <c r="G30" s="259">
        <f>C30+E30</f>
        <v>16687703.529411765</v>
      </c>
      <c r="H30" s="78" t="s">
        <v>73</v>
      </c>
      <c r="I30" s="79" t="s">
        <v>74</v>
      </c>
      <c r="J30" s="217" t="s">
        <v>43</v>
      </c>
      <c r="K30" s="277" t="s">
        <v>25</v>
      </c>
      <c r="L30" s="78" t="s">
        <v>36</v>
      </c>
      <c r="M30" s="78">
        <v>0</v>
      </c>
      <c r="N30" s="78" t="s">
        <v>27</v>
      </c>
      <c r="O30" s="78">
        <v>68</v>
      </c>
      <c r="P30" s="78">
        <v>72</v>
      </c>
      <c r="Q30" s="79" t="s">
        <v>75</v>
      </c>
      <c r="R30" s="151" t="s">
        <v>339</v>
      </c>
      <c r="S30" s="165"/>
      <c r="T30" s="116"/>
      <c r="U30" s="117"/>
      <c r="V30" s="115"/>
      <c r="W30" s="115"/>
      <c r="X30" s="51"/>
      <c r="Y30" s="116"/>
      <c r="Z30" s="38"/>
      <c r="AA30" s="51"/>
      <c r="AB30" s="51"/>
      <c r="AC30" s="51"/>
      <c r="AD30" s="39"/>
      <c r="AE30" s="51"/>
      <c r="AF30" s="50"/>
      <c r="AG30" s="49"/>
      <c r="AH30" s="118"/>
      <c r="AI30" s="48"/>
    </row>
    <row r="31" spans="1:35" s="114" customFormat="1" ht="209.1" customHeight="1" x14ac:dyDescent="0.25">
      <c r="A31" s="255"/>
      <c r="B31" s="275"/>
      <c r="C31" s="260"/>
      <c r="D31" s="226"/>
      <c r="E31" s="260"/>
      <c r="F31" s="260"/>
      <c r="G31" s="260"/>
      <c r="H31" s="72" t="s">
        <v>76</v>
      </c>
      <c r="I31" s="65" t="s">
        <v>77</v>
      </c>
      <c r="J31" s="218"/>
      <c r="K31" s="278"/>
      <c r="L31" s="72" t="s">
        <v>36</v>
      </c>
      <c r="M31" s="72">
        <v>0</v>
      </c>
      <c r="N31" s="72" t="s">
        <v>27</v>
      </c>
      <c r="O31" s="77">
        <v>68</v>
      </c>
      <c r="P31" s="72">
        <v>72</v>
      </c>
      <c r="Q31" s="74" t="s">
        <v>240</v>
      </c>
      <c r="R31" s="151" t="s">
        <v>340</v>
      </c>
      <c r="S31" s="165"/>
      <c r="T31" s="116"/>
      <c r="U31" s="117"/>
      <c r="V31" s="115"/>
      <c r="W31" s="115"/>
      <c r="X31" s="51"/>
      <c r="Y31" s="116"/>
      <c r="Z31" s="38"/>
      <c r="AA31" s="51"/>
      <c r="AB31" s="51"/>
      <c r="AC31" s="51"/>
      <c r="AD31" s="39"/>
      <c r="AE31" s="51"/>
      <c r="AF31" s="50"/>
      <c r="AG31" s="49"/>
      <c r="AH31" s="118"/>
      <c r="AI31" s="48"/>
    </row>
    <row r="32" spans="1:35" s="114" customFormat="1" ht="118.5" customHeight="1" x14ac:dyDescent="0.25">
      <c r="A32" s="255"/>
      <c r="B32" s="275"/>
      <c r="C32" s="260"/>
      <c r="D32" s="226"/>
      <c r="E32" s="260"/>
      <c r="F32" s="260"/>
      <c r="G32" s="260"/>
      <c r="H32" s="72" t="s">
        <v>89</v>
      </c>
      <c r="I32" s="65" t="s">
        <v>90</v>
      </c>
      <c r="J32" s="218"/>
      <c r="K32" s="278"/>
      <c r="L32" s="72" t="s">
        <v>91</v>
      </c>
      <c r="M32" s="72">
        <v>0</v>
      </c>
      <c r="N32" s="72">
        <v>2021</v>
      </c>
      <c r="O32" s="72" t="s">
        <v>27</v>
      </c>
      <c r="P32" s="75">
        <v>14184548</v>
      </c>
      <c r="Q32" s="74" t="s">
        <v>240</v>
      </c>
      <c r="R32" s="151" t="s">
        <v>105</v>
      </c>
      <c r="S32" s="165"/>
      <c r="T32" s="116"/>
      <c r="U32" s="117"/>
      <c r="V32" s="115"/>
      <c r="W32" s="115"/>
      <c r="X32" s="51"/>
      <c r="Y32" s="116"/>
      <c r="Z32" s="38"/>
      <c r="AA32" s="51"/>
      <c r="AB32" s="51"/>
      <c r="AC32" s="51"/>
      <c r="AD32" s="39"/>
      <c r="AE32" s="51"/>
      <c r="AF32" s="50"/>
      <c r="AG32" s="49"/>
      <c r="AH32" s="118"/>
      <c r="AI32" s="48"/>
    </row>
    <row r="33" spans="1:35" s="114" customFormat="1" ht="149.44999999999999" customHeight="1" thickBot="1" x14ac:dyDescent="0.3">
      <c r="A33" s="255"/>
      <c r="B33" s="276"/>
      <c r="C33" s="261"/>
      <c r="D33" s="226"/>
      <c r="E33" s="261"/>
      <c r="F33" s="261"/>
      <c r="G33" s="261"/>
      <c r="H33" s="80" t="s">
        <v>95</v>
      </c>
      <c r="I33" s="81" t="s">
        <v>96</v>
      </c>
      <c r="J33" s="253"/>
      <c r="K33" s="279"/>
      <c r="L33" s="81" t="s">
        <v>313</v>
      </c>
      <c r="M33" s="80">
        <v>0</v>
      </c>
      <c r="N33" s="80">
        <v>2021</v>
      </c>
      <c r="O33" s="80" t="s">
        <v>27</v>
      </c>
      <c r="P33" s="80">
        <v>16</v>
      </c>
      <c r="Q33" s="74" t="s">
        <v>240</v>
      </c>
      <c r="R33" s="151" t="s">
        <v>106</v>
      </c>
      <c r="S33" s="165"/>
      <c r="T33" s="116"/>
      <c r="U33" s="117"/>
      <c r="V33" s="115"/>
      <c r="W33" s="115"/>
      <c r="X33" s="51"/>
      <c r="Y33" s="116"/>
      <c r="Z33" s="38"/>
      <c r="AA33" s="51"/>
      <c r="AB33" s="51"/>
      <c r="AC33" s="51"/>
      <c r="AD33" s="39"/>
      <c r="AE33" s="51"/>
      <c r="AF33" s="50"/>
      <c r="AG33" s="49"/>
      <c r="AH33" s="118"/>
      <c r="AI33" s="48"/>
    </row>
    <row r="34" spans="1:35" s="114" customFormat="1" ht="90" x14ac:dyDescent="0.25">
      <c r="A34" s="255"/>
      <c r="B34" s="260">
        <f>F34</f>
        <v>16167368</v>
      </c>
      <c r="C34" s="260">
        <v>8083684</v>
      </c>
      <c r="D34" s="226"/>
      <c r="E34" s="259">
        <f>C34/0.5*0.5</f>
        <v>8083684</v>
      </c>
      <c r="F34" s="259">
        <f>C34+E34</f>
        <v>16167368</v>
      </c>
      <c r="G34" s="259">
        <f>C34+E34</f>
        <v>16167368</v>
      </c>
      <c r="H34" s="78" t="s">
        <v>73</v>
      </c>
      <c r="I34" s="79" t="s">
        <v>98</v>
      </c>
      <c r="J34" s="217" t="s">
        <v>67</v>
      </c>
      <c r="K34" s="277" t="s">
        <v>25</v>
      </c>
      <c r="L34" s="78" t="s">
        <v>36</v>
      </c>
      <c r="M34" s="78">
        <v>0</v>
      </c>
      <c r="N34" s="78" t="s">
        <v>27</v>
      </c>
      <c r="O34" s="78">
        <v>0</v>
      </c>
      <c r="P34" s="78">
        <v>13</v>
      </c>
      <c r="Q34" s="79" t="s">
        <v>75</v>
      </c>
      <c r="R34" s="151" t="s">
        <v>341</v>
      </c>
      <c r="S34" s="165"/>
      <c r="T34" s="116"/>
      <c r="U34" s="117"/>
      <c r="V34" s="115"/>
      <c r="W34" s="115"/>
      <c r="X34" s="51"/>
      <c r="Y34" s="116"/>
      <c r="Z34" s="38"/>
      <c r="AA34" s="51"/>
      <c r="AB34" s="51"/>
      <c r="AC34" s="51"/>
      <c r="AD34" s="39"/>
      <c r="AE34" s="51"/>
      <c r="AF34" s="50"/>
      <c r="AG34" s="49"/>
      <c r="AH34" s="118"/>
      <c r="AI34" s="48"/>
    </row>
    <row r="35" spans="1:35" s="114" customFormat="1" ht="204" customHeight="1" x14ac:dyDescent="0.25">
      <c r="A35" s="255"/>
      <c r="B35" s="260"/>
      <c r="C35" s="260"/>
      <c r="D35" s="226"/>
      <c r="E35" s="260"/>
      <c r="F35" s="260"/>
      <c r="G35" s="260"/>
      <c r="H35" s="32" t="s">
        <v>78</v>
      </c>
      <c r="I35" s="65" t="s">
        <v>79</v>
      </c>
      <c r="J35" s="218"/>
      <c r="K35" s="278"/>
      <c r="L35" s="72" t="s">
        <v>36</v>
      </c>
      <c r="M35" s="72">
        <v>0</v>
      </c>
      <c r="N35" s="72" t="s">
        <v>27</v>
      </c>
      <c r="O35" s="73">
        <v>0</v>
      </c>
      <c r="P35" s="72">
        <v>13</v>
      </c>
      <c r="Q35" s="74" t="s">
        <v>240</v>
      </c>
      <c r="R35" s="151" t="s">
        <v>342</v>
      </c>
      <c r="S35" s="165"/>
      <c r="T35" s="116"/>
      <c r="U35" s="117"/>
      <c r="V35" s="115"/>
      <c r="W35" s="115"/>
      <c r="X35" s="51"/>
      <c r="Y35" s="116"/>
      <c r="Z35" s="38"/>
      <c r="AA35" s="51"/>
      <c r="AB35" s="51"/>
      <c r="AC35" s="51"/>
      <c r="AD35" s="39"/>
      <c r="AE35" s="51"/>
      <c r="AF35" s="50"/>
      <c r="AG35" s="49"/>
      <c r="AH35" s="118"/>
      <c r="AI35" s="48"/>
    </row>
    <row r="36" spans="1:35" s="114" customFormat="1" ht="120" x14ac:dyDescent="0.25">
      <c r="A36" s="255"/>
      <c r="B36" s="260"/>
      <c r="C36" s="260"/>
      <c r="D36" s="226"/>
      <c r="E36" s="260"/>
      <c r="F36" s="260"/>
      <c r="G36" s="260"/>
      <c r="H36" s="72" t="s">
        <v>89</v>
      </c>
      <c r="I36" s="65" t="s">
        <v>90</v>
      </c>
      <c r="J36" s="218"/>
      <c r="K36" s="278"/>
      <c r="L36" s="72" t="s">
        <v>91</v>
      </c>
      <c r="M36" s="72">
        <v>0</v>
      </c>
      <c r="N36" s="72">
        <v>2021</v>
      </c>
      <c r="O36" s="72" t="s">
        <v>27</v>
      </c>
      <c r="P36" s="75">
        <v>12125526</v>
      </c>
      <c r="Q36" s="74" t="s">
        <v>240</v>
      </c>
      <c r="R36" s="151" t="s">
        <v>107</v>
      </c>
      <c r="S36" s="165"/>
      <c r="T36" s="116"/>
      <c r="U36" s="117"/>
      <c r="V36" s="115"/>
      <c r="W36" s="115"/>
      <c r="X36" s="51"/>
      <c r="Y36" s="116"/>
      <c r="Z36" s="38"/>
      <c r="AA36" s="51"/>
      <c r="AB36" s="51"/>
      <c r="AC36" s="51"/>
      <c r="AD36" s="39"/>
      <c r="AE36" s="51"/>
      <c r="AF36" s="50"/>
      <c r="AG36" s="49"/>
      <c r="AH36" s="118"/>
      <c r="AI36" s="48"/>
    </row>
    <row r="37" spans="1:35" s="114" customFormat="1" ht="122.1" customHeight="1" thickBot="1" x14ac:dyDescent="0.3">
      <c r="A37" s="255"/>
      <c r="B37" s="261"/>
      <c r="C37" s="261"/>
      <c r="D37" s="258"/>
      <c r="E37" s="261"/>
      <c r="F37" s="261"/>
      <c r="G37" s="261"/>
      <c r="H37" s="80" t="s">
        <v>95</v>
      </c>
      <c r="I37" s="81" t="s">
        <v>96</v>
      </c>
      <c r="J37" s="253"/>
      <c r="K37" s="279"/>
      <c r="L37" s="81" t="s">
        <v>313</v>
      </c>
      <c r="M37" s="80">
        <v>0</v>
      </c>
      <c r="N37" s="80">
        <v>2021</v>
      </c>
      <c r="O37" s="80" t="s">
        <v>27</v>
      </c>
      <c r="P37" s="80">
        <v>14</v>
      </c>
      <c r="Q37" s="74" t="s">
        <v>240</v>
      </c>
      <c r="R37" s="151" t="s">
        <v>108</v>
      </c>
      <c r="S37" s="165"/>
      <c r="T37" s="116"/>
      <c r="U37" s="117"/>
      <c r="V37" s="115"/>
      <c r="W37" s="115"/>
      <c r="X37" s="51"/>
      <c r="Y37" s="116"/>
      <c r="Z37" s="38"/>
      <c r="AA37" s="51"/>
      <c r="AB37" s="51"/>
      <c r="AC37" s="51"/>
      <c r="AD37" s="39"/>
      <c r="AE37" s="51"/>
      <c r="AF37" s="50"/>
      <c r="AG37" s="49"/>
      <c r="AH37" s="118"/>
      <c r="AI37" s="48"/>
    </row>
    <row r="38" spans="1:35" s="114" customFormat="1" ht="159.75" customHeight="1" x14ac:dyDescent="0.25">
      <c r="A38" s="255"/>
      <c r="B38" s="259">
        <f>F38</f>
        <v>8343851.7647058824</v>
      </c>
      <c r="C38" s="259">
        <v>7092274</v>
      </c>
      <c r="D38" s="257" t="s">
        <v>231</v>
      </c>
      <c r="E38" s="280">
        <f>C38/0.85*0.15</f>
        <v>1251577.7647058824</v>
      </c>
      <c r="F38" s="259">
        <f>C38+E38</f>
        <v>8343851.7647058824</v>
      </c>
      <c r="G38" s="259">
        <f>C38+E38</f>
        <v>8343851.7647058824</v>
      </c>
      <c r="H38" s="78" t="s">
        <v>73</v>
      </c>
      <c r="I38" s="79" t="s">
        <v>98</v>
      </c>
      <c r="J38" s="257" t="s">
        <v>43</v>
      </c>
      <c r="K38" s="268" t="s">
        <v>25</v>
      </c>
      <c r="L38" s="78" t="s">
        <v>36</v>
      </c>
      <c r="M38" s="78">
        <v>0</v>
      </c>
      <c r="N38" s="78" t="s">
        <v>27</v>
      </c>
      <c r="O38" s="78">
        <v>227</v>
      </c>
      <c r="P38" s="159">
        <v>482</v>
      </c>
      <c r="Q38" s="79" t="s">
        <v>75</v>
      </c>
      <c r="R38" s="151" t="s">
        <v>343</v>
      </c>
      <c r="S38" s="165"/>
      <c r="T38" s="116"/>
      <c r="U38" s="117"/>
      <c r="V38" s="115"/>
      <c r="W38" s="115"/>
      <c r="X38" s="51"/>
      <c r="Y38" s="116"/>
      <c r="Z38" s="38"/>
      <c r="AA38" s="51"/>
      <c r="AB38" s="51"/>
      <c r="AC38" s="51"/>
      <c r="AD38" s="39"/>
      <c r="AE38" s="51"/>
      <c r="AF38" s="50"/>
      <c r="AG38" s="49"/>
      <c r="AH38" s="118"/>
      <c r="AI38" s="48"/>
    </row>
    <row r="39" spans="1:35" s="114" customFormat="1" ht="182.1" customHeight="1" x14ac:dyDescent="0.25">
      <c r="A39" s="255"/>
      <c r="B39" s="260"/>
      <c r="C39" s="260"/>
      <c r="D39" s="226"/>
      <c r="E39" s="273"/>
      <c r="F39" s="260"/>
      <c r="G39" s="260"/>
      <c r="H39" s="72" t="s">
        <v>76</v>
      </c>
      <c r="I39" s="65" t="s">
        <v>77</v>
      </c>
      <c r="J39" s="226"/>
      <c r="K39" s="266"/>
      <c r="L39" s="72" t="s">
        <v>36</v>
      </c>
      <c r="M39" s="72">
        <v>0</v>
      </c>
      <c r="N39" s="72" t="s">
        <v>27</v>
      </c>
      <c r="O39" s="73">
        <v>227</v>
      </c>
      <c r="P39" s="143">
        <v>482</v>
      </c>
      <c r="Q39" s="74" t="s">
        <v>240</v>
      </c>
      <c r="R39" s="151" t="s">
        <v>344</v>
      </c>
      <c r="S39" s="165"/>
      <c r="T39" s="116"/>
      <c r="U39" s="117"/>
      <c r="V39" s="115"/>
      <c r="W39" s="115"/>
      <c r="X39" s="51"/>
      <c r="Y39" s="116"/>
      <c r="Z39" s="38"/>
      <c r="AA39" s="51"/>
      <c r="AB39" s="51"/>
      <c r="AC39" s="51"/>
      <c r="AD39" s="39"/>
      <c r="AE39" s="51"/>
      <c r="AF39" s="50"/>
      <c r="AG39" s="49"/>
      <c r="AH39" s="118"/>
      <c r="AI39" s="48"/>
    </row>
    <row r="40" spans="1:35" s="114" customFormat="1" ht="210.75" customHeight="1" x14ac:dyDescent="0.25">
      <c r="A40" s="255"/>
      <c r="B40" s="260"/>
      <c r="C40" s="260"/>
      <c r="D40" s="226"/>
      <c r="E40" s="273"/>
      <c r="F40" s="260"/>
      <c r="G40" s="260"/>
      <c r="H40" s="76" t="s">
        <v>89</v>
      </c>
      <c r="I40" s="83" t="s">
        <v>90</v>
      </c>
      <c r="J40" s="226"/>
      <c r="K40" s="266"/>
      <c r="L40" s="76" t="s">
        <v>91</v>
      </c>
      <c r="M40" s="76">
        <v>0</v>
      </c>
      <c r="N40" s="76">
        <v>2021</v>
      </c>
      <c r="O40" s="76" t="s">
        <v>27</v>
      </c>
      <c r="P40" s="160">
        <v>7092274</v>
      </c>
      <c r="Q40" s="74" t="s">
        <v>240</v>
      </c>
      <c r="R40" s="151" t="s">
        <v>109</v>
      </c>
      <c r="S40" s="165"/>
      <c r="T40" s="116"/>
      <c r="U40" s="117"/>
      <c r="V40" s="115"/>
      <c r="W40" s="115"/>
      <c r="X40" s="51"/>
      <c r="Y40" s="116"/>
      <c r="Z40" s="38"/>
      <c r="AA40" s="51"/>
      <c r="AB40" s="51"/>
      <c r="AC40" s="51"/>
      <c r="AD40" s="39"/>
      <c r="AE40" s="51"/>
      <c r="AF40" s="50"/>
      <c r="AG40" s="49"/>
      <c r="AH40" s="118"/>
      <c r="AI40" s="48"/>
    </row>
    <row r="41" spans="1:35" s="114" customFormat="1" ht="122.45" customHeight="1" thickBot="1" x14ac:dyDescent="0.3">
      <c r="A41" s="255"/>
      <c r="B41" s="261"/>
      <c r="C41" s="261"/>
      <c r="D41" s="258"/>
      <c r="E41" s="274"/>
      <c r="F41" s="261"/>
      <c r="G41" s="261"/>
      <c r="H41" s="81" t="s">
        <v>110</v>
      </c>
      <c r="I41" s="81" t="s">
        <v>111</v>
      </c>
      <c r="J41" s="258"/>
      <c r="K41" s="267"/>
      <c r="L41" s="76" t="s">
        <v>36</v>
      </c>
      <c r="M41" s="76">
        <v>0</v>
      </c>
      <c r="N41" s="76">
        <v>2021</v>
      </c>
      <c r="O41" s="76" t="s">
        <v>27</v>
      </c>
      <c r="P41" s="76">
        <v>482</v>
      </c>
      <c r="Q41" s="83" t="s">
        <v>241</v>
      </c>
      <c r="R41" s="151" t="s">
        <v>112</v>
      </c>
      <c r="S41" s="165"/>
      <c r="T41" s="116"/>
      <c r="U41" s="117"/>
      <c r="V41" s="115"/>
      <c r="W41" s="115"/>
      <c r="X41" s="51"/>
      <c r="Y41" s="116"/>
      <c r="Z41" s="38"/>
      <c r="AA41" s="51"/>
      <c r="AB41" s="51"/>
      <c r="AC41" s="51"/>
      <c r="AD41" s="39"/>
      <c r="AE41" s="51"/>
      <c r="AF41" s="50"/>
      <c r="AG41" s="49"/>
      <c r="AH41" s="118"/>
      <c r="AI41" s="48"/>
    </row>
    <row r="42" spans="1:35" s="114" customFormat="1" ht="90" x14ac:dyDescent="0.25">
      <c r="A42" s="255"/>
      <c r="B42" s="260">
        <f>F42</f>
        <v>25031552.94117647</v>
      </c>
      <c r="C42" s="260">
        <v>21276820</v>
      </c>
      <c r="D42" s="226" t="s">
        <v>232</v>
      </c>
      <c r="E42" s="273">
        <f>C42/0.85*0.15</f>
        <v>3754732.9411764704</v>
      </c>
      <c r="F42" s="260">
        <f>C42+E42</f>
        <v>25031552.94117647</v>
      </c>
      <c r="G42" s="260">
        <f>C42+E42</f>
        <v>25031552.94117647</v>
      </c>
      <c r="H42" s="73" t="s">
        <v>73</v>
      </c>
      <c r="I42" s="84" t="s">
        <v>98</v>
      </c>
      <c r="J42" s="226" t="s">
        <v>43</v>
      </c>
      <c r="K42" s="266" t="s">
        <v>25</v>
      </c>
      <c r="L42" s="78" t="s">
        <v>36</v>
      </c>
      <c r="M42" s="78">
        <v>0</v>
      </c>
      <c r="N42" s="78" t="s">
        <v>27</v>
      </c>
      <c r="O42" s="78">
        <v>10</v>
      </c>
      <c r="P42" s="78">
        <v>95</v>
      </c>
      <c r="Q42" s="79" t="s">
        <v>75</v>
      </c>
      <c r="R42" s="151" t="s">
        <v>345</v>
      </c>
      <c r="S42" s="165"/>
      <c r="T42" s="116"/>
      <c r="U42" s="117"/>
      <c r="V42" s="115"/>
      <c r="W42" s="115"/>
      <c r="X42" s="51"/>
      <c r="Y42" s="116"/>
      <c r="Z42" s="38"/>
      <c r="AA42" s="51"/>
      <c r="AB42" s="51"/>
      <c r="AC42" s="51"/>
      <c r="AD42" s="39"/>
      <c r="AE42" s="51"/>
      <c r="AF42" s="50"/>
      <c r="AG42" s="49"/>
      <c r="AH42" s="118"/>
      <c r="AI42" s="48"/>
    </row>
    <row r="43" spans="1:35" s="114" customFormat="1" ht="194.1" customHeight="1" x14ac:dyDescent="0.25">
      <c r="A43" s="255"/>
      <c r="B43" s="260"/>
      <c r="C43" s="260"/>
      <c r="D43" s="226"/>
      <c r="E43" s="273"/>
      <c r="F43" s="260"/>
      <c r="G43" s="260"/>
      <c r="H43" s="72" t="s">
        <v>76</v>
      </c>
      <c r="I43" s="65" t="s">
        <v>77</v>
      </c>
      <c r="J43" s="226"/>
      <c r="K43" s="266"/>
      <c r="L43" s="72" t="s">
        <v>36</v>
      </c>
      <c r="M43" s="72">
        <v>0</v>
      </c>
      <c r="N43" s="72" t="s">
        <v>27</v>
      </c>
      <c r="O43" s="72">
        <v>10</v>
      </c>
      <c r="P43" s="72">
        <v>95</v>
      </c>
      <c r="Q43" s="74" t="s">
        <v>240</v>
      </c>
      <c r="R43" s="151" t="s">
        <v>346</v>
      </c>
      <c r="S43" s="165"/>
      <c r="T43" s="116"/>
      <c r="U43" s="117"/>
      <c r="V43" s="115"/>
      <c r="W43" s="115"/>
      <c r="X43" s="51"/>
      <c r="Y43" s="116"/>
      <c r="Z43" s="38"/>
      <c r="AA43" s="51"/>
      <c r="AB43" s="51"/>
      <c r="AC43" s="51"/>
      <c r="AD43" s="39"/>
      <c r="AE43" s="51"/>
      <c r="AF43" s="50"/>
      <c r="AG43" s="49"/>
      <c r="AH43" s="118"/>
      <c r="AI43" s="48"/>
    </row>
    <row r="44" spans="1:35" s="114" customFormat="1" ht="123.75" customHeight="1" x14ac:dyDescent="0.25">
      <c r="A44" s="255"/>
      <c r="B44" s="260"/>
      <c r="C44" s="260"/>
      <c r="D44" s="226"/>
      <c r="E44" s="273"/>
      <c r="F44" s="260"/>
      <c r="G44" s="260"/>
      <c r="H44" s="72" t="s">
        <v>89</v>
      </c>
      <c r="I44" s="65" t="s">
        <v>90</v>
      </c>
      <c r="J44" s="226"/>
      <c r="K44" s="266"/>
      <c r="L44" s="72" t="s">
        <v>91</v>
      </c>
      <c r="M44" s="72">
        <v>0</v>
      </c>
      <c r="N44" s="72">
        <v>2021</v>
      </c>
      <c r="O44" s="72" t="s">
        <v>27</v>
      </c>
      <c r="P44" s="75">
        <v>16050934</v>
      </c>
      <c r="Q44" s="74" t="s">
        <v>240</v>
      </c>
      <c r="R44" s="151" t="s">
        <v>113</v>
      </c>
      <c r="S44" s="164"/>
    </row>
    <row r="45" spans="1:35" s="114" customFormat="1" ht="171" customHeight="1" thickBot="1" x14ac:dyDescent="0.3">
      <c r="A45" s="256"/>
      <c r="B45" s="261"/>
      <c r="C45" s="261"/>
      <c r="D45" s="258"/>
      <c r="E45" s="274"/>
      <c r="F45" s="261"/>
      <c r="G45" s="261"/>
      <c r="H45" s="80" t="s">
        <v>95</v>
      </c>
      <c r="I45" s="81" t="s">
        <v>114</v>
      </c>
      <c r="J45" s="258"/>
      <c r="K45" s="267"/>
      <c r="L45" s="81" t="s">
        <v>313</v>
      </c>
      <c r="M45" s="80">
        <v>0</v>
      </c>
      <c r="N45" s="80">
        <v>2021</v>
      </c>
      <c r="O45" s="80" t="s">
        <v>27</v>
      </c>
      <c r="P45" s="80">
        <v>21</v>
      </c>
      <c r="Q45" s="74" t="s">
        <v>240</v>
      </c>
      <c r="R45" s="151" t="s">
        <v>115</v>
      </c>
      <c r="S45" s="164"/>
    </row>
    <row r="46" spans="1:35" s="114" customFormat="1" ht="114" customHeight="1" x14ac:dyDescent="0.25">
      <c r="A46" s="254" t="s">
        <v>116</v>
      </c>
      <c r="B46" s="275">
        <f>G46</f>
        <v>88235294.117647052</v>
      </c>
      <c r="C46" s="259">
        <v>75000000</v>
      </c>
      <c r="D46" s="257" t="s">
        <v>233</v>
      </c>
      <c r="E46" s="288">
        <f>C46/0.85*0.15</f>
        <v>13235294.117647059</v>
      </c>
      <c r="F46" s="259">
        <f>C46+E46</f>
        <v>88235294.117647052</v>
      </c>
      <c r="G46" s="259">
        <f>C46+E46</f>
        <v>88235294.117647052</v>
      </c>
      <c r="H46" s="150" t="s">
        <v>73</v>
      </c>
      <c r="I46" s="84" t="s">
        <v>98</v>
      </c>
      <c r="J46" s="257" t="s">
        <v>43</v>
      </c>
      <c r="K46" s="268" t="s">
        <v>25</v>
      </c>
      <c r="L46" s="73" t="s">
        <v>36</v>
      </c>
      <c r="M46" s="73">
        <v>0</v>
      </c>
      <c r="N46" s="73" t="s">
        <v>27</v>
      </c>
      <c r="O46" s="78">
        <v>16</v>
      </c>
      <c r="P46" s="73">
        <v>139</v>
      </c>
      <c r="Q46" s="84" t="s">
        <v>75</v>
      </c>
      <c r="R46" s="151" t="s">
        <v>364</v>
      </c>
      <c r="S46" s="164"/>
    </row>
    <row r="47" spans="1:35" s="114" customFormat="1" ht="245.1" customHeight="1" x14ac:dyDescent="0.25">
      <c r="A47" s="255"/>
      <c r="B47" s="275"/>
      <c r="C47" s="260"/>
      <c r="D47" s="226"/>
      <c r="E47" s="289"/>
      <c r="F47" s="260"/>
      <c r="G47" s="260"/>
      <c r="H47" s="72" t="s">
        <v>76</v>
      </c>
      <c r="I47" s="65" t="s">
        <v>77</v>
      </c>
      <c r="J47" s="226"/>
      <c r="K47" s="266"/>
      <c r="L47" s="72" t="s">
        <v>36</v>
      </c>
      <c r="M47" s="72">
        <v>0</v>
      </c>
      <c r="N47" s="72" t="s">
        <v>27</v>
      </c>
      <c r="O47" s="73">
        <v>16</v>
      </c>
      <c r="P47" s="72">
        <v>89</v>
      </c>
      <c r="Q47" s="74" t="s">
        <v>240</v>
      </c>
      <c r="R47" s="151" t="s">
        <v>365</v>
      </c>
      <c r="S47" s="164"/>
    </row>
    <row r="48" spans="1:35" s="114" customFormat="1" ht="219.75" customHeight="1" x14ac:dyDescent="0.25">
      <c r="A48" s="255"/>
      <c r="B48" s="275"/>
      <c r="C48" s="260"/>
      <c r="D48" s="226"/>
      <c r="E48" s="289"/>
      <c r="F48" s="260"/>
      <c r="G48" s="260"/>
      <c r="H48" s="32" t="s">
        <v>78</v>
      </c>
      <c r="I48" s="65" t="s">
        <v>79</v>
      </c>
      <c r="J48" s="226"/>
      <c r="K48" s="266"/>
      <c r="L48" s="72" t="s">
        <v>36</v>
      </c>
      <c r="M48" s="72">
        <v>0</v>
      </c>
      <c r="N48" s="72" t="s">
        <v>27</v>
      </c>
      <c r="O48" s="73">
        <v>0</v>
      </c>
      <c r="P48" s="72">
        <v>50</v>
      </c>
      <c r="Q48" s="74" t="s">
        <v>240</v>
      </c>
      <c r="R48" s="153" t="s">
        <v>372</v>
      </c>
      <c r="S48" s="164"/>
    </row>
    <row r="49" spans="1:19" s="114" customFormat="1" ht="177" customHeight="1" x14ac:dyDescent="0.25">
      <c r="A49" s="255"/>
      <c r="B49" s="275"/>
      <c r="C49" s="260"/>
      <c r="D49" s="226"/>
      <c r="E49" s="289"/>
      <c r="F49" s="260"/>
      <c r="G49" s="260"/>
      <c r="H49" s="72" t="s">
        <v>86</v>
      </c>
      <c r="I49" s="65" t="s">
        <v>87</v>
      </c>
      <c r="J49" s="226"/>
      <c r="K49" s="266"/>
      <c r="L49" s="65" t="s">
        <v>313</v>
      </c>
      <c r="M49" s="72">
        <v>0</v>
      </c>
      <c r="N49" s="72">
        <v>2021</v>
      </c>
      <c r="O49" s="72" t="s">
        <v>27</v>
      </c>
      <c r="P49" s="72">
        <v>260</v>
      </c>
      <c r="Q49" s="74" t="s">
        <v>240</v>
      </c>
      <c r="R49" s="151" t="s">
        <v>366</v>
      </c>
      <c r="S49" s="164"/>
    </row>
    <row r="50" spans="1:19" s="114" customFormat="1" ht="197.1" customHeight="1" x14ac:dyDescent="0.25">
      <c r="A50" s="255"/>
      <c r="B50" s="275"/>
      <c r="C50" s="260"/>
      <c r="D50" s="226"/>
      <c r="E50" s="289"/>
      <c r="F50" s="260"/>
      <c r="G50" s="260"/>
      <c r="H50" s="72" t="s">
        <v>89</v>
      </c>
      <c r="I50" s="65" t="s">
        <v>90</v>
      </c>
      <c r="J50" s="226"/>
      <c r="K50" s="266"/>
      <c r="L50" s="72" t="s">
        <v>91</v>
      </c>
      <c r="M50" s="72">
        <v>0</v>
      </c>
      <c r="N50" s="72">
        <v>2021</v>
      </c>
      <c r="O50" s="72" t="s">
        <v>27</v>
      </c>
      <c r="P50" s="75">
        <v>35169662.310000002</v>
      </c>
      <c r="Q50" s="74" t="s">
        <v>240</v>
      </c>
      <c r="R50" s="151" t="s">
        <v>367</v>
      </c>
      <c r="S50" s="164"/>
    </row>
    <row r="51" spans="1:19" s="114" customFormat="1" ht="45.75" thickBot="1" x14ac:dyDescent="0.3">
      <c r="A51" s="256"/>
      <c r="B51" s="276"/>
      <c r="C51" s="261"/>
      <c r="D51" s="258"/>
      <c r="E51" s="290"/>
      <c r="F51" s="261"/>
      <c r="G51" s="261"/>
      <c r="H51" s="80" t="s">
        <v>117</v>
      </c>
      <c r="I51" s="81" t="s">
        <v>118</v>
      </c>
      <c r="J51" s="258"/>
      <c r="K51" s="267"/>
      <c r="L51" s="80" t="s">
        <v>36</v>
      </c>
      <c r="M51" s="80">
        <v>0</v>
      </c>
      <c r="N51" s="80">
        <v>2021</v>
      </c>
      <c r="O51" s="80" t="s">
        <v>27</v>
      </c>
      <c r="P51" s="85">
        <v>139</v>
      </c>
      <c r="Q51" s="81" t="s">
        <v>241</v>
      </c>
      <c r="R51" s="151" t="s">
        <v>368</v>
      </c>
      <c r="S51" s="164"/>
    </row>
    <row r="52" spans="1:19" s="114" customFormat="1" ht="90" x14ac:dyDescent="0.25">
      <c r="A52" s="254" t="s">
        <v>119</v>
      </c>
      <c r="B52" s="259">
        <f>F52</f>
        <v>17647058.823529411</v>
      </c>
      <c r="C52" s="259">
        <v>15000000</v>
      </c>
      <c r="D52" s="257" t="s">
        <v>234</v>
      </c>
      <c r="E52" s="259">
        <f>C52/0.85*0.15</f>
        <v>2647058.8235294116</v>
      </c>
      <c r="F52" s="259">
        <f>C52+E52</f>
        <v>17647058.823529411</v>
      </c>
      <c r="G52" s="259">
        <f>C52+E52</f>
        <v>17647058.823529411</v>
      </c>
      <c r="H52" s="78" t="s">
        <v>73</v>
      </c>
      <c r="I52" s="79" t="s">
        <v>98</v>
      </c>
      <c r="J52" s="257" t="s">
        <v>43</v>
      </c>
      <c r="K52" s="268" t="s">
        <v>25</v>
      </c>
      <c r="L52" s="78" t="s">
        <v>36</v>
      </c>
      <c r="M52" s="78">
        <v>0</v>
      </c>
      <c r="N52" s="148" t="s">
        <v>27</v>
      </c>
      <c r="O52" s="148">
        <v>117</v>
      </c>
      <c r="P52" s="78">
        <v>486</v>
      </c>
      <c r="Q52" s="79" t="s">
        <v>75</v>
      </c>
      <c r="R52" s="151" t="s">
        <v>360</v>
      </c>
      <c r="S52" s="164"/>
    </row>
    <row r="53" spans="1:19" s="114" customFormat="1" ht="140.25" customHeight="1" x14ac:dyDescent="0.25">
      <c r="A53" s="255"/>
      <c r="B53" s="260"/>
      <c r="C53" s="260"/>
      <c r="D53" s="226"/>
      <c r="E53" s="260"/>
      <c r="F53" s="260"/>
      <c r="G53" s="260"/>
      <c r="H53" s="72" t="s">
        <v>76</v>
      </c>
      <c r="I53" s="65" t="s">
        <v>77</v>
      </c>
      <c r="J53" s="226"/>
      <c r="K53" s="266"/>
      <c r="L53" s="72" t="s">
        <v>36</v>
      </c>
      <c r="M53" s="72">
        <v>0</v>
      </c>
      <c r="N53" s="72" t="s">
        <v>27</v>
      </c>
      <c r="O53" s="72">
        <v>117</v>
      </c>
      <c r="P53" s="72">
        <v>486</v>
      </c>
      <c r="Q53" s="74" t="s">
        <v>240</v>
      </c>
      <c r="R53" s="151" t="s">
        <v>359</v>
      </c>
      <c r="S53" s="164"/>
    </row>
    <row r="54" spans="1:19" s="114" customFormat="1" ht="120" x14ac:dyDescent="0.25">
      <c r="A54" s="255"/>
      <c r="B54" s="260"/>
      <c r="C54" s="260"/>
      <c r="D54" s="226"/>
      <c r="E54" s="260"/>
      <c r="F54" s="260"/>
      <c r="G54" s="260"/>
      <c r="H54" s="72" t="s">
        <v>89</v>
      </c>
      <c r="I54" s="65" t="s">
        <v>90</v>
      </c>
      <c r="J54" s="226"/>
      <c r="K54" s="266"/>
      <c r="L54" s="72" t="s">
        <v>91</v>
      </c>
      <c r="M54" s="72">
        <v>0</v>
      </c>
      <c r="N54" s="72">
        <v>2021</v>
      </c>
      <c r="O54" s="72" t="s">
        <v>27</v>
      </c>
      <c r="P54" s="75">
        <v>2647059</v>
      </c>
      <c r="Q54" s="74" t="s">
        <v>240</v>
      </c>
      <c r="R54" s="151" t="s">
        <v>120</v>
      </c>
      <c r="S54" s="164"/>
    </row>
    <row r="55" spans="1:19" s="114" customFormat="1" ht="105" x14ac:dyDescent="0.25">
      <c r="A55" s="255"/>
      <c r="B55" s="260"/>
      <c r="C55" s="260"/>
      <c r="D55" s="226"/>
      <c r="E55" s="260">
        <f>C55/0.85*0.15</f>
        <v>0</v>
      </c>
      <c r="F55" s="260"/>
      <c r="G55" s="260"/>
      <c r="H55" s="72" t="s">
        <v>110</v>
      </c>
      <c r="I55" s="65" t="s">
        <v>375</v>
      </c>
      <c r="J55" s="226"/>
      <c r="K55" s="266"/>
      <c r="L55" s="72" t="s">
        <v>36</v>
      </c>
      <c r="M55" s="72">
        <v>0</v>
      </c>
      <c r="N55" s="72">
        <v>2021</v>
      </c>
      <c r="O55" s="72" t="s">
        <v>27</v>
      </c>
      <c r="P55" s="72">
        <v>146</v>
      </c>
      <c r="Q55" s="65" t="s">
        <v>241</v>
      </c>
      <c r="R55" s="151" t="s">
        <v>121</v>
      </c>
      <c r="S55" s="164"/>
    </row>
    <row r="56" spans="1:19" s="114" customFormat="1" ht="60" x14ac:dyDescent="0.25">
      <c r="A56" s="255"/>
      <c r="B56" s="260"/>
      <c r="C56" s="260"/>
      <c r="D56" s="226"/>
      <c r="E56" s="260"/>
      <c r="F56" s="260"/>
      <c r="G56" s="260"/>
      <c r="H56" s="72" t="s">
        <v>122</v>
      </c>
      <c r="I56" s="65" t="s">
        <v>123</v>
      </c>
      <c r="J56" s="226"/>
      <c r="K56" s="266"/>
      <c r="L56" s="72" t="s">
        <v>36</v>
      </c>
      <c r="M56" s="72">
        <v>0</v>
      </c>
      <c r="N56" s="72">
        <v>2021</v>
      </c>
      <c r="O56" s="72" t="s">
        <v>27</v>
      </c>
      <c r="P56" s="76">
        <v>340</v>
      </c>
      <c r="Q56" s="65" t="s">
        <v>241</v>
      </c>
      <c r="R56" s="151" t="s">
        <v>124</v>
      </c>
      <c r="S56" s="164"/>
    </row>
    <row r="57" spans="1:19" s="114" customFormat="1" ht="96" customHeight="1" thickBot="1" x14ac:dyDescent="0.3">
      <c r="A57" s="256"/>
      <c r="B57" s="261"/>
      <c r="C57" s="261"/>
      <c r="D57" s="258"/>
      <c r="E57" s="261"/>
      <c r="F57" s="261"/>
      <c r="G57" s="261"/>
      <c r="H57" s="80" t="s">
        <v>117</v>
      </c>
      <c r="I57" s="81" t="s">
        <v>311</v>
      </c>
      <c r="J57" s="258"/>
      <c r="K57" s="267"/>
      <c r="L57" s="80" t="s">
        <v>36</v>
      </c>
      <c r="M57" s="80">
        <v>0</v>
      </c>
      <c r="N57" s="149">
        <v>2021</v>
      </c>
      <c r="O57" s="149" t="s">
        <v>27</v>
      </c>
      <c r="P57" s="80">
        <v>486</v>
      </c>
      <c r="Q57" s="81" t="s">
        <v>241</v>
      </c>
      <c r="R57" s="152" t="s">
        <v>125</v>
      </c>
      <c r="S57" s="164"/>
    </row>
    <row r="58" spans="1:19" s="114" customFormat="1" ht="90" customHeight="1" x14ac:dyDescent="0.25">
      <c r="A58" s="254" t="s">
        <v>223</v>
      </c>
      <c r="B58" s="259">
        <f>F58</f>
        <v>1976470.588235294</v>
      </c>
      <c r="C58" s="259">
        <v>1680000</v>
      </c>
      <c r="D58" s="263" t="s">
        <v>235</v>
      </c>
      <c r="E58" s="259">
        <f>C58/0.85*0.15</f>
        <v>296470.5882352941</v>
      </c>
      <c r="F58" s="260">
        <f>C58+E58</f>
        <v>1976470.588235294</v>
      </c>
      <c r="G58" s="260">
        <f>F58*0.9</f>
        <v>1778823.5294117646</v>
      </c>
      <c r="H58" s="73" t="s">
        <v>73</v>
      </c>
      <c r="I58" s="84" t="s">
        <v>98</v>
      </c>
      <c r="J58" s="226" t="s">
        <v>43</v>
      </c>
      <c r="K58" s="266" t="s">
        <v>25</v>
      </c>
      <c r="L58" s="73" t="s">
        <v>36</v>
      </c>
      <c r="M58" s="73">
        <v>0</v>
      </c>
      <c r="N58" s="73" t="s">
        <v>27</v>
      </c>
      <c r="O58" s="73">
        <v>0</v>
      </c>
      <c r="P58" s="73">
        <v>20</v>
      </c>
      <c r="Q58" s="84" t="s">
        <v>75</v>
      </c>
      <c r="R58" s="151" t="s">
        <v>357</v>
      </c>
      <c r="S58" s="164"/>
    </row>
    <row r="59" spans="1:19" s="114" customFormat="1" ht="232.5" customHeight="1" x14ac:dyDescent="0.25">
      <c r="A59" s="255"/>
      <c r="B59" s="260"/>
      <c r="C59" s="260"/>
      <c r="D59" s="264"/>
      <c r="E59" s="260"/>
      <c r="F59" s="260"/>
      <c r="G59" s="260"/>
      <c r="H59" s="72" t="s">
        <v>76</v>
      </c>
      <c r="I59" s="65" t="s">
        <v>77</v>
      </c>
      <c r="J59" s="226"/>
      <c r="K59" s="266"/>
      <c r="L59" s="72" t="s">
        <v>36</v>
      </c>
      <c r="M59" s="72">
        <v>0</v>
      </c>
      <c r="N59" s="72" t="s">
        <v>27</v>
      </c>
      <c r="O59" s="72">
        <v>0</v>
      </c>
      <c r="P59" s="72">
        <v>20</v>
      </c>
      <c r="Q59" s="65" t="s">
        <v>240</v>
      </c>
      <c r="R59" s="154" t="s">
        <v>362</v>
      </c>
      <c r="S59" s="164"/>
    </row>
    <row r="60" spans="1:19" s="114" customFormat="1" ht="120" x14ac:dyDescent="0.25">
      <c r="A60" s="255"/>
      <c r="B60" s="260"/>
      <c r="C60" s="260"/>
      <c r="D60" s="264"/>
      <c r="E60" s="260"/>
      <c r="F60" s="260"/>
      <c r="G60" s="260"/>
      <c r="H60" s="72" t="s">
        <v>89</v>
      </c>
      <c r="I60" s="65" t="s">
        <v>90</v>
      </c>
      <c r="J60" s="226"/>
      <c r="K60" s="266"/>
      <c r="L60" s="72" t="s">
        <v>91</v>
      </c>
      <c r="M60" s="72">
        <v>0</v>
      </c>
      <c r="N60" s="72">
        <v>2021</v>
      </c>
      <c r="O60" s="72" t="s">
        <v>27</v>
      </c>
      <c r="P60" s="75">
        <v>266824</v>
      </c>
      <c r="Q60" s="65" t="s">
        <v>240</v>
      </c>
      <c r="R60" s="151" t="s">
        <v>126</v>
      </c>
      <c r="S60" s="164"/>
    </row>
    <row r="61" spans="1:19" s="114" customFormat="1" ht="224.1" customHeight="1" thickBot="1" x14ac:dyDescent="0.3">
      <c r="A61" s="255"/>
      <c r="B61" s="261"/>
      <c r="C61" s="261"/>
      <c r="D61" s="264"/>
      <c r="E61" s="261"/>
      <c r="F61" s="261"/>
      <c r="G61" s="261"/>
      <c r="H61" s="77" t="s">
        <v>45</v>
      </c>
      <c r="I61" s="113" t="s">
        <v>127</v>
      </c>
      <c r="J61" s="258"/>
      <c r="K61" s="267"/>
      <c r="L61" s="80" t="s">
        <v>47</v>
      </c>
      <c r="M61" s="80">
        <v>0</v>
      </c>
      <c r="N61" s="80">
        <v>2021</v>
      </c>
      <c r="O61" s="80" t="s">
        <v>27</v>
      </c>
      <c r="P61" s="85">
        <v>4</v>
      </c>
      <c r="Q61" s="81" t="s">
        <v>240</v>
      </c>
      <c r="R61" s="151" t="s">
        <v>128</v>
      </c>
      <c r="S61" s="164"/>
    </row>
    <row r="62" spans="1:19" s="114" customFormat="1" ht="90" x14ac:dyDescent="0.25">
      <c r="A62" s="255"/>
      <c r="B62" s="259">
        <f>F62</f>
        <v>2240000</v>
      </c>
      <c r="C62" s="259">
        <v>1120000</v>
      </c>
      <c r="D62" s="264"/>
      <c r="E62" s="259">
        <f>C62/0.5*0.5</f>
        <v>1120000</v>
      </c>
      <c r="F62" s="259">
        <f>C62+E62</f>
        <v>2240000</v>
      </c>
      <c r="G62" s="259">
        <f>F62*0.9</f>
        <v>2016000</v>
      </c>
      <c r="H62" s="78" t="s">
        <v>73</v>
      </c>
      <c r="I62" s="79" t="s">
        <v>98</v>
      </c>
      <c r="J62" s="257" t="s">
        <v>67</v>
      </c>
      <c r="K62" s="268" t="s">
        <v>25</v>
      </c>
      <c r="L62" s="73" t="s">
        <v>36</v>
      </c>
      <c r="M62" s="73">
        <v>0</v>
      </c>
      <c r="N62" s="73" t="s">
        <v>27</v>
      </c>
      <c r="O62" s="77">
        <v>0</v>
      </c>
      <c r="P62" s="73">
        <v>14</v>
      </c>
      <c r="Q62" s="84" t="s">
        <v>75</v>
      </c>
      <c r="R62" s="151" t="s">
        <v>357</v>
      </c>
      <c r="S62" s="164"/>
    </row>
    <row r="63" spans="1:19" s="114" customFormat="1" ht="223.5" customHeight="1" x14ac:dyDescent="0.25">
      <c r="A63" s="255"/>
      <c r="B63" s="260"/>
      <c r="C63" s="260"/>
      <c r="D63" s="264"/>
      <c r="E63" s="260"/>
      <c r="F63" s="260"/>
      <c r="G63" s="260"/>
      <c r="H63" s="72" t="s">
        <v>76</v>
      </c>
      <c r="I63" s="65" t="s">
        <v>77</v>
      </c>
      <c r="J63" s="226"/>
      <c r="K63" s="266"/>
      <c r="L63" s="72" t="s">
        <v>36</v>
      </c>
      <c r="M63" s="72">
        <v>0</v>
      </c>
      <c r="N63" s="72" t="s">
        <v>27</v>
      </c>
      <c r="O63" s="72">
        <v>0</v>
      </c>
      <c r="P63" s="72">
        <v>14</v>
      </c>
      <c r="Q63" s="65" t="s">
        <v>240</v>
      </c>
      <c r="R63" s="151" t="s">
        <v>358</v>
      </c>
      <c r="S63" s="164"/>
    </row>
    <row r="64" spans="1:19" s="114" customFormat="1" ht="120" x14ac:dyDescent="0.25">
      <c r="A64" s="255"/>
      <c r="B64" s="260"/>
      <c r="C64" s="260"/>
      <c r="D64" s="264"/>
      <c r="E64" s="260"/>
      <c r="F64" s="260"/>
      <c r="G64" s="260"/>
      <c r="H64" s="72" t="s">
        <v>89</v>
      </c>
      <c r="I64" s="65" t="s">
        <v>90</v>
      </c>
      <c r="J64" s="226"/>
      <c r="K64" s="266"/>
      <c r="L64" s="76" t="s">
        <v>91</v>
      </c>
      <c r="M64" s="76">
        <v>0</v>
      </c>
      <c r="N64" s="76">
        <v>2021</v>
      </c>
      <c r="O64" s="76" t="s">
        <v>27</v>
      </c>
      <c r="P64" s="82">
        <v>1008000</v>
      </c>
      <c r="Q64" s="65" t="s">
        <v>240</v>
      </c>
      <c r="R64" s="151" t="s">
        <v>129</v>
      </c>
      <c r="S64" s="164"/>
    </row>
    <row r="65" spans="1:19" s="114" customFormat="1" ht="129" customHeight="1" thickBot="1" x14ac:dyDescent="0.3">
      <c r="A65" s="255"/>
      <c r="B65" s="262"/>
      <c r="C65" s="262"/>
      <c r="D65" s="265"/>
      <c r="E65" s="261"/>
      <c r="F65" s="261"/>
      <c r="G65" s="261"/>
      <c r="H65" s="80" t="s">
        <v>45</v>
      </c>
      <c r="I65" s="81" t="s">
        <v>127</v>
      </c>
      <c r="J65" s="258"/>
      <c r="K65" s="267"/>
      <c r="L65" s="80" t="s">
        <v>47</v>
      </c>
      <c r="M65" s="80">
        <v>0</v>
      </c>
      <c r="N65" s="80">
        <v>2021</v>
      </c>
      <c r="O65" s="80" t="s">
        <v>27</v>
      </c>
      <c r="P65" s="85">
        <v>3</v>
      </c>
      <c r="Q65" s="81" t="s">
        <v>240</v>
      </c>
      <c r="R65" s="151" t="s">
        <v>130</v>
      </c>
      <c r="S65" s="164"/>
    </row>
    <row r="66" spans="1:19" s="114" customFormat="1" ht="90" customHeight="1" x14ac:dyDescent="0.25">
      <c r="A66" s="255"/>
      <c r="B66" s="269">
        <f>F66</f>
        <v>5082352.9411764704</v>
      </c>
      <c r="C66" s="269">
        <v>4320000</v>
      </c>
      <c r="D66" s="286" t="s">
        <v>236</v>
      </c>
      <c r="E66" s="259">
        <f>C66/0.85*0.15</f>
        <v>762352.94117647049</v>
      </c>
      <c r="F66" s="259">
        <f>C66+E66</f>
        <v>5082352.9411764704</v>
      </c>
      <c r="G66" s="259">
        <f>F66*0.9</f>
        <v>4574117.6470588231</v>
      </c>
      <c r="H66" s="73" t="s">
        <v>73</v>
      </c>
      <c r="I66" s="84" t="s">
        <v>98</v>
      </c>
      <c r="J66" s="257" t="s">
        <v>43</v>
      </c>
      <c r="K66" s="268" t="s">
        <v>25</v>
      </c>
      <c r="L66" s="73" t="s">
        <v>36</v>
      </c>
      <c r="M66" s="73">
        <v>0</v>
      </c>
      <c r="N66" s="73" t="s">
        <v>27</v>
      </c>
      <c r="O66" s="77">
        <v>0</v>
      </c>
      <c r="P66" s="73">
        <v>48</v>
      </c>
      <c r="Q66" s="84" t="s">
        <v>75</v>
      </c>
      <c r="R66" s="151" t="s">
        <v>357</v>
      </c>
      <c r="S66" s="164"/>
    </row>
    <row r="67" spans="1:19" s="114" customFormat="1" ht="250.5" customHeight="1" x14ac:dyDescent="0.25">
      <c r="A67" s="255"/>
      <c r="B67" s="260"/>
      <c r="C67" s="260"/>
      <c r="D67" s="264"/>
      <c r="E67" s="260"/>
      <c r="F67" s="260"/>
      <c r="G67" s="260"/>
      <c r="H67" s="72" t="s">
        <v>76</v>
      </c>
      <c r="I67" s="65" t="s">
        <v>77</v>
      </c>
      <c r="J67" s="226"/>
      <c r="K67" s="266"/>
      <c r="L67" s="72" t="s">
        <v>36</v>
      </c>
      <c r="M67" s="72">
        <v>0</v>
      </c>
      <c r="N67" s="72" t="s">
        <v>27</v>
      </c>
      <c r="O67" s="72">
        <v>0</v>
      </c>
      <c r="P67" s="72">
        <v>48</v>
      </c>
      <c r="Q67" s="65" t="s">
        <v>240</v>
      </c>
      <c r="R67" s="154" t="s">
        <v>363</v>
      </c>
      <c r="S67" s="164"/>
    </row>
    <row r="68" spans="1:19" s="114" customFormat="1" ht="120" x14ac:dyDescent="0.25">
      <c r="A68" s="255"/>
      <c r="B68" s="260"/>
      <c r="C68" s="260"/>
      <c r="D68" s="264"/>
      <c r="E68" s="260"/>
      <c r="F68" s="260"/>
      <c r="G68" s="260"/>
      <c r="H68" s="76" t="s">
        <v>89</v>
      </c>
      <c r="I68" s="83" t="s">
        <v>90</v>
      </c>
      <c r="J68" s="226"/>
      <c r="K68" s="266"/>
      <c r="L68" s="76" t="s">
        <v>91</v>
      </c>
      <c r="M68" s="76">
        <v>0</v>
      </c>
      <c r="N68" s="76">
        <v>2021</v>
      </c>
      <c r="O68" s="76" t="s">
        <v>27</v>
      </c>
      <c r="P68" s="160">
        <v>686118</v>
      </c>
      <c r="Q68" s="65" t="s">
        <v>240</v>
      </c>
      <c r="R68" s="151" t="s">
        <v>131</v>
      </c>
      <c r="S68" s="164"/>
    </row>
    <row r="69" spans="1:19" s="114" customFormat="1" ht="134.25" customHeight="1" thickBot="1" x14ac:dyDescent="0.3">
      <c r="A69" s="255"/>
      <c r="B69" s="262"/>
      <c r="C69" s="262"/>
      <c r="D69" s="264"/>
      <c r="E69" s="262"/>
      <c r="F69" s="261"/>
      <c r="G69" s="261"/>
      <c r="H69" s="80" t="s">
        <v>45</v>
      </c>
      <c r="I69" s="81" t="s">
        <v>132</v>
      </c>
      <c r="J69" s="258"/>
      <c r="K69" s="267"/>
      <c r="L69" s="80" t="s">
        <v>47</v>
      </c>
      <c r="M69" s="80">
        <v>0</v>
      </c>
      <c r="N69" s="80">
        <v>2021</v>
      </c>
      <c r="O69" s="80" t="s">
        <v>27</v>
      </c>
      <c r="P69" s="85">
        <v>11</v>
      </c>
      <c r="Q69" s="81" t="s">
        <v>240</v>
      </c>
      <c r="R69" s="151" t="s">
        <v>133</v>
      </c>
      <c r="S69" s="164"/>
    </row>
    <row r="70" spans="1:19" s="114" customFormat="1" ht="90" x14ac:dyDescent="0.25">
      <c r="A70" s="255"/>
      <c r="B70" s="269">
        <f>F70</f>
        <v>5760000</v>
      </c>
      <c r="C70" s="269">
        <v>2880000</v>
      </c>
      <c r="D70" s="264"/>
      <c r="E70" s="269">
        <f>C70/0.5*0.5</f>
        <v>2880000</v>
      </c>
      <c r="F70" s="259">
        <f>C70+E70</f>
        <v>5760000</v>
      </c>
      <c r="G70" s="259">
        <f>F70*0.9</f>
        <v>5184000</v>
      </c>
      <c r="H70" s="73" t="s">
        <v>73</v>
      </c>
      <c r="I70" s="84" t="s">
        <v>98</v>
      </c>
      <c r="J70" s="257" t="s">
        <v>67</v>
      </c>
      <c r="K70" s="268" t="s">
        <v>25</v>
      </c>
      <c r="L70" s="73" t="s">
        <v>36</v>
      </c>
      <c r="M70" s="73">
        <v>0</v>
      </c>
      <c r="N70" s="73" t="s">
        <v>27</v>
      </c>
      <c r="O70" s="77">
        <v>0</v>
      </c>
      <c r="P70" s="73">
        <v>34</v>
      </c>
      <c r="Q70" s="84" t="s">
        <v>75</v>
      </c>
      <c r="R70" s="151" t="s">
        <v>356</v>
      </c>
      <c r="S70" s="164"/>
    </row>
    <row r="71" spans="1:19" s="114" customFormat="1" ht="240.95" customHeight="1" x14ac:dyDescent="0.25">
      <c r="A71" s="255"/>
      <c r="B71" s="260"/>
      <c r="C71" s="260"/>
      <c r="D71" s="264"/>
      <c r="E71" s="260"/>
      <c r="F71" s="260"/>
      <c r="G71" s="260"/>
      <c r="H71" s="72" t="s">
        <v>76</v>
      </c>
      <c r="I71" s="65" t="s">
        <v>77</v>
      </c>
      <c r="J71" s="226"/>
      <c r="K71" s="266"/>
      <c r="L71" s="72" t="s">
        <v>36</v>
      </c>
      <c r="M71" s="72">
        <v>0</v>
      </c>
      <c r="N71" s="72" t="s">
        <v>27</v>
      </c>
      <c r="O71" s="72">
        <v>0</v>
      </c>
      <c r="P71" s="72">
        <v>34</v>
      </c>
      <c r="Q71" s="65" t="s">
        <v>240</v>
      </c>
      <c r="R71" s="151" t="s">
        <v>354</v>
      </c>
      <c r="S71" s="164"/>
    </row>
    <row r="72" spans="1:19" s="114" customFormat="1" ht="120" x14ac:dyDescent="0.25">
      <c r="A72" s="255"/>
      <c r="B72" s="260"/>
      <c r="C72" s="260"/>
      <c r="D72" s="264"/>
      <c r="E72" s="260"/>
      <c r="F72" s="260"/>
      <c r="G72" s="260"/>
      <c r="H72" s="76" t="s">
        <v>89</v>
      </c>
      <c r="I72" s="83" t="s">
        <v>90</v>
      </c>
      <c r="J72" s="226"/>
      <c r="K72" s="266"/>
      <c r="L72" s="76" t="s">
        <v>91</v>
      </c>
      <c r="M72" s="76">
        <v>0</v>
      </c>
      <c r="N72" s="76">
        <v>2021</v>
      </c>
      <c r="O72" s="76" t="s">
        <v>27</v>
      </c>
      <c r="P72" s="160">
        <v>2592000</v>
      </c>
      <c r="Q72" s="65" t="s">
        <v>240</v>
      </c>
      <c r="R72" s="151" t="s">
        <v>225</v>
      </c>
      <c r="S72" s="164"/>
    </row>
    <row r="73" spans="1:19" s="114" customFormat="1" ht="147.75" customHeight="1" thickBot="1" x14ac:dyDescent="0.3">
      <c r="A73" s="256"/>
      <c r="B73" s="261"/>
      <c r="C73" s="261"/>
      <c r="D73" s="287"/>
      <c r="E73" s="261"/>
      <c r="F73" s="261"/>
      <c r="G73" s="261"/>
      <c r="H73" s="80" t="s">
        <v>45</v>
      </c>
      <c r="I73" s="81" t="s">
        <v>127</v>
      </c>
      <c r="J73" s="258"/>
      <c r="K73" s="267"/>
      <c r="L73" s="80" t="s">
        <v>47</v>
      </c>
      <c r="M73" s="80">
        <v>0</v>
      </c>
      <c r="N73" s="80">
        <v>2021</v>
      </c>
      <c r="O73" s="80" t="s">
        <v>27</v>
      </c>
      <c r="P73" s="85">
        <v>8</v>
      </c>
      <c r="Q73" s="65" t="s">
        <v>240</v>
      </c>
      <c r="R73" s="151" t="s">
        <v>355</v>
      </c>
      <c r="S73" s="164"/>
    </row>
    <row r="74" spans="1:19" s="114" customFormat="1" ht="81.75" customHeight="1" x14ac:dyDescent="0.25">
      <c r="A74" s="254" t="s">
        <v>134</v>
      </c>
      <c r="B74" s="259">
        <f>F74</f>
        <v>13957423.529411765</v>
      </c>
      <c r="C74" s="259">
        <v>11863810</v>
      </c>
      <c r="D74" s="257" t="s">
        <v>237</v>
      </c>
      <c r="E74" s="259">
        <f>C74/0.85*0.15</f>
        <v>2093613.5294117646</v>
      </c>
      <c r="F74" s="259">
        <f>E74+C74</f>
        <v>13957423.529411765</v>
      </c>
      <c r="G74" s="259">
        <f>F74</f>
        <v>13957423.529411765</v>
      </c>
      <c r="H74" s="78" t="s">
        <v>73</v>
      </c>
      <c r="I74" s="79" t="s">
        <v>98</v>
      </c>
      <c r="J74" s="257" t="s">
        <v>43</v>
      </c>
      <c r="K74" s="268" t="s">
        <v>25</v>
      </c>
      <c r="L74" s="78" t="s">
        <v>36</v>
      </c>
      <c r="M74" s="78">
        <v>0</v>
      </c>
      <c r="N74" s="78" t="s">
        <v>27</v>
      </c>
      <c r="O74" s="157">
        <v>32</v>
      </c>
      <c r="P74" s="70">
        <v>181</v>
      </c>
      <c r="Q74" s="79" t="s">
        <v>75</v>
      </c>
      <c r="R74" s="151" t="s">
        <v>353</v>
      </c>
      <c r="S74" s="164"/>
    </row>
    <row r="75" spans="1:19" s="114" customFormat="1" ht="285.75" customHeight="1" x14ac:dyDescent="0.25">
      <c r="A75" s="255"/>
      <c r="B75" s="260"/>
      <c r="C75" s="260"/>
      <c r="D75" s="226"/>
      <c r="E75" s="260"/>
      <c r="F75" s="260"/>
      <c r="G75" s="260"/>
      <c r="H75" s="72" t="s">
        <v>76</v>
      </c>
      <c r="I75" s="65" t="s">
        <v>77</v>
      </c>
      <c r="J75" s="226"/>
      <c r="K75" s="266"/>
      <c r="L75" s="72" t="s">
        <v>36</v>
      </c>
      <c r="M75" s="72">
        <v>0</v>
      </c>
      <c r="N75" s="72" t="s">
        <v>27</v>
      </c>
      <c r="O75" s="157">
        <v>32</v>
      </c>
      <c r="P75" s="72">
        <v>181</v>
      </c>
      <c r="Q75" s="65" t="s">
        <v>240</v>
      </c>
      <c r="R75" s="153" t="s">
        <v>351</v>
      </c>
      <c r="S75" s="164"/>
    </row>
    <row r="76" spans="1:19" s="119" customFormat="1" ht="120" x14ac:dyDescent="0.25">
      <c r="A76" s="255"/>
      <c r="B76" s="260"/>
      <c r="C76" s="260"/>
      <c r="D76" s="226"/>
      <c r="E76" s="260"/>
      <c r="F76" s="260"/>
      <c r="G76" s="260"/>
      <c r="H76" s="77" t="s">
        <v>89</v>
      </c>
      <c r="I76" s="113" t="s">
        <v>90</v>
      </c>
      <c r="J76" s="226"/>
      <c r="K76" s="266"/>
      <c r="L76" s="76" t="s">
        <v>91</v>
      </c>
      <c r="M76" s="76">
        <v>0</v>
      </c>
      <c r="N76" s="76">
        <v>2021</v>
      </c>
      <c r="O76" s="76" t="s">
        <v>27</v>
      </c>
      <c r="P76" s="160">
        <v>11863810</v>
      </c>
      <c r="Q76" s="65" t="s">
        <v>240</v>
      </c>
      <c r="R76" s="151" t="s">
        <v>135</v>
      </c>
      <c r="S76" s="166"/>
    </row>
    <row r="77" spans="1:19" s="119" customFormat="1" ht="105" x14ac:dyDescent="0.25">
      <c r="A77" s="255"/>
      <c r="B77" s="260"/>
      <c r="C77" s="260"/>
      <c r="D77" s="226"/>
      <c r="E77" s="260"/>
      <c r="F77" s="260"/>
      <c r="G77" s="260"/>
      <c r="H77" s="76" t="s">
        <v>110</v>
      </c>
      <c r="I77" s="83" t="s">
        <v>111</v>
      </c>
      <c r="J77" s="226"/>
      <c r="K77" s="266"/>
      <c r="L77" s="76" t="s">
        <v>36</v>
      </c>
      <c r="M77" s="76">
        <v>0</v>
      </c>
      <c r="N77" s="76">
        <v>2021</v>
      </c>
      <c r="O77" s="76" t="s">
        <v>27</v>
      </c>
      <c r="P77" s="76">
        <v>40</v>
      </c>
      <c r="Q77" s="83" t="s">
        <v>241</v>
      </c>
      <c r="R77" s="151" t="s">
        <v>352</v>
      </c>
      <c r="S77" s="166"/>
    </row>
    <row r="78" spans="1:19" s="119" customFormat="1" ht="109.5" customHeight="1" thickBot="1" x14ac:dyDescent="0.3">
      <c r="A78" s="255"/>
      <c r="B78" s="261"/>
      <c r="C78" s="261"/>
      <c r="D78" s="226"/>
      <c r="E78" s="261"/>
      <c r="F78" s="261"/>
      <c r="G78" s="261"/>
      <c r="H78" s="80" t="s">
        <v>45</v>
      </c>
      <c r="I78" s="132" t="s">
        <v>321</v>
      </c>
      <c r="J78" s="258"/>
      <c r="K78" s="267"/>
      <c r="L78" s="80" t="s">
        <v>47</v>
      </c>
      <c r="M78" s="80">
        <v>0</v>
      </c>
      <c r="N78" s="80">
        <v>2021</v>
      </c>
      <c r="O78" s="80" t="s">
        <v>27</v>
      </c>
      <c r="P78" s="80">
        <v>131</v>
      </c>
      <c r="Q78" s="81" t="s">
        <v>240</v>
      </c>
      <c r="R78" s="154" t="s">
        <v>373</v>
      </c>
      <c r="S78" s="166"/>
    </row>
    <row r="79" spans="1:19" s="119" customFormat="1" ht="90" x14ac:dyDescent="0.25">
      <c r="A79" s="255"/>
      <c r="B79" s="259">
        <f>F79</f>
        <v>20000000</v>
      </c>
      <c r="C79" s="259">
        <v>10000000</v>
      </c>
      <c r="D79" s="226"/>
      <c r="E79" s="259">
        <f>C79/0.5*0.5</f>
        <v>10000000</v>
      </c>
      <c r="F79" s="259">
        <f>E79+C79</f>
        <v>20000000</v>
      </c>
      <c r="G79" s="270">
        <f>F79</f>
        <v>20000000</v>
      </c>
      <c r="H79" s="73" t="s">
        <v>73</v>
      </c>
      <c r="I79" s="84" t="s">
        <v>98</v>
      </c>
      <c r="J79" s="257" t="s">
        <v>67</v>
      </c>
      <c r="K79" s="268" t="s">
        <v>25</v>
      </c>
      <c r="L79" s="73" t="s">
        <v>36</v>
      </c>
      <c r="M79" s="73">
        <v>0</v>
      </c>
      <c r="N79" s="73" t="s">
        <v>27</v>
      </c>
      <c r="O79" s="156">
        <v>28</v>
      </c>
      <c r="P79" s="156">
        <v>157</v>
      </c>
      <c r="Q79" s="84" t="s">
        <v>75</v>
      </c>
      <c r="R79" s="151" t="s">
        <v>350</v>
      </c>
      <c r="S79" s="166"/>
    </row>
    <row r="80" spans="1:19" s="119" customFormat="1" ht="271.5" customHeight="1" x14ac:dyDescent="0.25">
      <c r="A80" s="255"/>
      <c r="B80" s="260"/>
      <c r="C80" s="260"/>
      <c r="D80" s="226"/>
      <c r="E80" s="260"/>
      <c r="F80" s="260"/>
      <c r="G80" s="271"/>
      <c r="H80" s="72" t="s">
        <v>76</v>
      </c>
      <c r="I80" s="65" t="s">
        <v>77</v>
      </c>
      <c r="J80" s="226"/>
      <c r="K80" s="266"/>
      <c r="L80" s="72" t="s">
        <v>36</v>
      </c>
      <c r="M80" s="72">
        <v>0</v>
      </c>
      <c r="N80" s="72" t="s">
        <v>27</v>
      </c>
      <c r="O80" s="156">
        <v>28</v>
      </c>
      <c r="P80" s="72">
        <v>157</v>
      </c>
      <c r="Q80" s="65" t="s">
        <v>240</v>
      </c>
      <c r="R80" s="151" t="s">
        <v>349</v>
      </c>
      <c r="S80" s="166"/>
    </row>
    <row r="81" spans="1:19" s="114" customFormat="1" ht="120" x14ac:dyDescent="0.25">
      <c r="A81" s="255"/>
      <c r="B81" s="260"/>
      <c r="C81" s="260"/>
      <c r="D81" s="226"/>
      <c r="E81" s="260"/>
      <c r="F81" s="260"/>
      <c r="G81" s="271"/>
      <c r="H81" s="76" t="s">
        <v>89</v>
      </c>
      <c r="I81" s="83" t="s">
        <v>90</v>
      </c>
      <c r="J81" s="226"/>
      <c r="K81" s="266"/>
      <c r="L81" s="76" t="s">
        <v>91</v>
      </c>
      <c r="M81" s="76">
        <v>0</v>
      </c>
      <c r="N81" s="76">
        <v>2021</v>
      </c>
      <c r="O81" s="76" t="s">
        <v>27</v>
      </c>
      <c r="P81" s="160">
        <v>10000000</v>
      </c>
      <c r="Q81" s="65" t="s">
        <v>240</v>
      </c>
      <c r="R81" s="151" t="s">
        <v>238</v>
      </c>
      <c r="S81" s="164"/>
    </row>
    <row r="82" spans="1:19" s="114" customFormat="1" ht="105" x14ac:dyDescent="0.25">
      <c r="A82" s="255"/>
      <c r="B82" s="260"/>
      <c r="C82" s="260"/>
      <c r="D82" s="226"/>
      <c r="E82" s="260"/>
      <c r="F82" s="260"/>
      <c r="G82" s="271"/>
      <c r="H82" s="76" t="s">
        <v>110</v>
      </c>
      <c r="I82" s="83" t="s">
        <v>375</v>
      </c>
      <c r="J82" s="226"/>
      <c r="K82" s="266"/>
      <c r="L82" s="72" t="s">
        <v>36</v>
      </c>
      <c r="M82" s="72">
        <v>0</v>
      </c>
      <c r="N82" s="72">
        <v>2021</v>
      </c>
      <c r="O82" s="72" t="s">
        <v>27</v>
      </c>
      <c r="P82" s="32">
        <v>21</v>
      </c>
      <c r="Q82" s="4" t="s">
        <v>241</v>
      </c>
      <c r="R82" s="154" t="s">
        <v>361</v>
      </c>
      <c r="S82" s="164"/>
    </row>
    <row r="83" spans="1:19" s="114" customFormat="1" ht="108" customHeight="1" thickBot="1" x14ac:dyDescent="0.3">
      <c r="A83" s="256"/>
      <c r="B83" s="261"/>
      <c r="C83" s="261"/>
      <c r="D83" s="258"/>
      <c r="E83" s="261"/>
      <c r="F83" s="261"/>
      <c r="G83" s="272"/>
      <c r="H83" s="80" t="s">
        <v>45</v>
      </c>
      <c r="I83" s="132" t="s">
        <v>321</v>
      </c>
      <c r="J83" s="258"/>
      <c r="K83" s="267"/>
      <c r="L83" s="80" t="s">
        <v>47</v>
      </c>
      <c r="M83" s="133">
        <v>0</v>
      </c>
      <c r="N83" s="133">
        <v>2021</v>
      </c>
      <c r="O83" s="80" t="s">
        <v>27</v>
      </c>
      <c r="P83" s="133">
        <v>192</v>
      </c>
      <c r="Q83" s="132" t="s">
        <v>320</v>
      </c>
      <c r="R83" s="154" t="s">
        <v>374</v>
      </c>
      <c r="S83" s="164"/>
    </row>
    <row r="84" spans="1:19" s="114" customFormat="1" ht="90" x14ac:dyDescent="0.25">
      <c r="A84" s="291" t="s">
        <v>224</v>
      </c>
      <c r="B84" s="281">
        <f>F84</f>
        <v>49494551.687782802</v>
      </c>
      <c r="C84" s="282">
        <v>30000000</v>
      </c>
      <c r="D84" s="285" t="s">
        <v>236</v>
      </c>
      <c r="E84" s="281">
        <f>((C84-C84*0.1)/0.52)*0.48+(C84*0.1)/0.85*0.15-5957937</f>
        <v>19494551.687782802</v>
      </c>
      <c r="F84" s="281">
        <f>E84+C84</f>
        <v>49494551.687782802</v>
      </c>
      <c r="G84" s="281">
        <f>(C84-C84*0.1)+E84-((C84*0.1)/0.85*0.15)</f>
        <v>45965139.92307692</v>
      </c>
      <c r="H84" s="73" t="s">
        <v>73</v>
      </c>
      <c r="I84" s="84" t="s">
        <v>98</v>
      </c>
      <c r="J84" s="217" t="s">
        <v>43</v>
      </c>
      <c r="K84" s="277" t="s">
        <v>25</v>
      </c>
      <c r="L84" s="73" t="s">
        <v>36</v>
      </c>
      <c r="M84" s="73">
        <v>0</v>
      </c>
      <c r="N84" s="73" t="s">
        <v>27</v>
      </c>
      <c r="O84" s="73">
        <v>2</v>
      </c>
      <c r="P84" s="73">
        <v>20</v>
      </c>
      <c r="Q84" s="84" t="s">
        <v>75</v>
      </c>
      <c r="R84" s="151" t="s">
        <v>347</v>
      </c>
      <c r="S84" s="164"/>
    </row>
    <row r="85" spans="1:19" s="114" customFormat="1" ht="206.25" customHeight="1" x14ac:dyDescent="0.25">
      <c r="A85" s="292"/>
      <c r="B85" s="275"/>
      <c r="C85" s="283"/>
      <c r="D85" s="218"/>
      <c r="E85" s="275"/>
      <c r="F85" s="275"/>
      <c r="G85" s="275"/>
      <c r="H85" s="72" t="s">
        <v>76</v>
      </c>
      <c r="I85" s="65" t="s">
        <v>77</v>
      </c>
      <c r="J85" s="218"/>
      <c r="K85" s="278"/>
      <c r="L85" s="72" t="s">
        <v>36</v>
      </c>
      <c r="M85" s="72">
        <v>0</v>
      </c>
      <c r="N85" s="72" t="s">
        <v>27</v>
      </c>
      <c r="O85" s="72">
        <v>2</v>
      </c>
      <c r="P85" s="72">
        <v>20</v>
      </c>
      <c r="Q85" s="65" t="s">
        <v>240</v>
      </c>
      <c r="R85" s="151" t="s">
        <v>348</v>
      </c>
      <c r="S85" s="164"/>
    </row>
    <row r="86" spans="1:19" s="114" customFormat="1" ht="120" x14ac:dyDescent="0.25">
      <c r="A86" s="292"/>
      <c r="B86" s="275"/>
      <c r="C86" s="283"/>
      <c r="D86" s="218"/>
      <c r="E86" s="275"/>
      <c r="F86" s="275"/>
      <c r="G86" s="275"/>
      <c r="H86" s="72" t="s">
        <v>89</v>
      </c>
      <c r="I86" s="65" t="s">
        <v>90</v>
      </c>
      <c r="J86" s="218"/>
      <c r="K86" s="278"/>
      <c r="L86" s="72" t="s">
        <v>91</v>
      </c>
      <c r="M86" s="72">
        <v>0</v>
      </c>
      <c r="N86" s="72">
        <v>2021</v>
      </c>
      <c r="O86" s="72" t="s">
        <v>27</v>
      </c>
      <c r="P86" s="75">
        <v>24923077</v>
      </c>
      <c r="Q86" s="65" t="s">
        <v>240</v>
      </c>
      <c r="R86" s="151" t="s">
        <v>239</v>
      </c>
      <c r="S86" s="164"/>
    </row>
    <row r="87" spans="1:19" s="114" customFormat="1" ht="75.75" thickBot="1" x14ac:dyDescent="0.3">
      <c r="A87" s="293"/>
      <c r="B87" s="276"/>
      <c r="C87" s="284"/>
      <c r="D87" s="253"/>
      <c r="E87" s="276"/>
      <c r="F87" s="276"/>
      <c r="G87" s="276"/>
      <c r="H87" s="80" t="s">
        <v>95</v>
      </c>
      <c r="I87" s="81" t="s">
        <v>96</v>
      </c>
      <c r="J87" s="253"/>
      <c r="K87" s="279"/>
      <c r="L87" s="81" t="s">
        <v>313</v>
      </c>
      <c r="M87" s="80">
        <v>0</v>
      </c>
      <c r="N87" s="80">
        <v>2021</v>
      </c>
      <c r="O87" s="80" t="s">
        <v>27</v>
      </c>
      <c r="P87" s="80">
        <v>18</v>
      </c>
      <c r="Q87" s="65" t="s">
        <v>240</v>
      </c>
      <c r="R87" s="151" t="s">
        <v>136</v>
      </c>
      <c r="S87" s="164"/>
    </row>
    <row r="88" spans="1:19" x14ac:dyDescent="0.25">
      <c r="A88" s="45"/>
      <c r="B88" s="40" t="s">
        <v>137</v>
      </c>
      <c r="C88" s="110">
        <f>C18+C26+C34+C62+C70+C79</f>
        <v>67891226</v>
      </c>
      <c r="D88" s="111"/>
      <c r="E88" s="112">
        <f>E18+E26+E34+E62+E70+E79</f>
        <v>67891226</v>
      </c>
      <c r="F88" s="112">
        <f>F18+F26+F34+F62+F70+F79</f>
        <v>135782452</v>
      </c>
      <c r="G88" s="40"/>
      <c r="H88" s="105"/>
      <c r="I88" s="42"/>
      <c r="J88" s="42"/>
      <c r="K88" s="40"/>
      <c r="L88" s="41"/>
      <c r="M88" s="40">
        <f>SUM(M6:M87)</f>
        <v>0</v>
      </c>
      <c r="N88" s="40"/>
      <c r="O88" s="47">
        <f>SUM(O6:O87)</f>
        <v>2838</v>
      </c>
      <c r="P88" s="46">
        <f>P6+P7+P8+P9+P10+P11+P12+P13+P14+P15+P16+P17+P18+P19+P20+P21+P22+P23+P24+P25+P26+P27+P28+P29+P30+P31+P32+P33+P34+P35+P36+P37+P38+P39+P40+P41+P42+P43+P44+P45+P46+P47+P48+P49+P50++P51+P52+P53+P54+P55+P56+P57+P58+P59+P60+P61+P62+P63+P64+P65+P66+P67+P68+P69+P70+P71+P72+P73+P74+P75+P76+P77+P78+P79+P80+P81+P82+P83+P84+P85+P86+P87</f>
        <v>298564491.31</v>
      </c>
      <c r="Q88" s="38"/>
      <c r="R88" s="37"/>
    </row>
    <row r="89" spans="1:19" x14ac:dyDescent="0.25">
      <c r="A89" s="45"/>
      <c r="B89" s="40" t="s">
        <v>59</v>
      </c>
      <c r="C89" s="110">
        <f>C6+C14+C22+C30+C38+C42+C46+C52+C58+C66+C74+C84</f>
        <v>322209284</v>
      </c>
      <c r="D89" s="111"/>
      <c r="E89" s="112">
        <f>E6+E14+E22+E30+E38+E42+E46+E52+E58+E66+E74+E84</f>
        <v>71060895.923076928</v>
      </c>
      <c r="F89" s="112">
        <f>F6+F14+F22+F30+F38+F42+F46+F52+F58+F66+F74+F84</f>
        <v>393270179.92307699</v>
      </c>
      <c r="G89" s="40"/>
      <c r="H89" s="105"/>
      <c r="I89" s="42"/>
      <c r="J89" s="42"/>
      <c r="K89" s="40"/>
      <c r="L89" s="41"/>
      <c r="M89" s="40"/>
      <c r="N89" s="40"/>
      <c r="O89" s="39"/>
      <c r="P89" s="39"/>
      <c r="Q89" s="38"/>
      <c r="R89" s="37"/>
    </row>
    <row r="90" spans="1:19" x14ac:dyDescent="0.25">
      <c r="A90" s="45"/>
      <c r="B90" s="40"/>
      <c r="C90" s="44"/>
      <c r="D90" s="42"/>
      <c r="E90" s="43"/>
      <c r="F90" s="43"/>
      <c r="G90" s="40"/>
      <c r="H90" s="105"/>
      <c r="I90" s="42"/>
      <c r="J90" s="42"/>
      <c r="K90" s="40"/>
      <c r="L90" s="41"/>
      <c r="M90" s="40"/>
      <c r="N90" s="40"/>
      <c r="O90" s="39"/>
      <c r="P90" s="39"/>
      <c r="Q90" s="38"/>
      <c r="R90" s="37"/>
    </row>
    <row r="91" spans="1:19" x14ac:dyDescent="0.25">
      <c r="A91" s="45"/>
      <c r="B91" s="40" t="s">
        <v>380</v>
      </c>
      <c r="C91" s="44">
        <f>C22+C66+C84</f>
        <v>97742737</v>
      </c>
      <c r="D91" s="42"/>
      <c r="E91" s="43"/>
      <c r="F91" s="43"/>
      <c r="G91" s="40"/>
      <c r="H91" s="105"/>
      <c r="I91" s="42"/>
      <c r="J91" s="42"/>
      <c r="K91" s="40"/>
      <c r="L91" s="41"/>
      <c r="M91" s="40"/>
      <c r="N91" s="40"/>
      <c r="O91" s="39"/>
      <c r="P91" s="50"/>
      <c r="Q91" s="38"/>
      <c r="R91" s="37"/>
    </row>
    <row r="92" spans="1:19" ht="26.25" customHeight="1" x14ac:dyDescent="0.25">
      <c r="A92" s="45"/>
      <c r="B92" s="40"/>
      <c r="C92" s="44"/>
      <c r="D92" s="42"/>
      <c r="E92" s="43"/>
      <c r="F92" s="43"/>
      <c r="G92" s="40"/>
      <c r="H92" s="105"/>
      <c r="I92" s="42"/>
      <c r="J92" s="42"/>
      <c r="K92" s="40"/>
      <c r="L92" s="41"/>
      <c r="M92" s="40"/>
      <c r="N92" s="40"/>
      <c r="O92" s="39"/>
      <c r="P92" s="39"/>
      <c r="Q92" s="38"/>
      <c r="R92" s="37"/>
    </row>
    <row r="93" spans="1:19" ht="150" customHeight="1" x14ac:dyDescent="0.25">
      <c r="A93" s="36" t="s">
        <v>60</v>
      </c>
      <c r="B93" s="36" t="s">
        <v>61</v>
      </c>
      <c r="C93" s="36" t="s">
        <v>62</v>
      </c>
      <c r="D93" s="36" t="s">
        <v>63</v>
      </c>
      <c r="E93" s="36" t="s">
        <v>64</v>
      </c>
      <c r="F93" s="36" t="s">
        <v>8</v>
      </c>
      <c r="G93" s="36" t="s">
        <v>65</v>
      </c>
      <c r="H93" s="36" t="s">
        <v>66</v>
      </c>
      <c r="I93" s="35" t="s">
        <v>138</v>
      </c>
      <c r="J93" s="36" t="s">
        <v>12</v>
      </c>
      <c r="K93" s="69" t="s">
        <v>138</v>
      </c>
      <c r="L93" s="67"/>
      <c r="N93" s="34"/>
    </row>
    <row r="94" spans="1:19" ht="132" customHeight="1" x14ac:dyDescent="0.25">
      <c r="A94" s="33" t="s">
        <v>73</v>
      </c>
      <c r="B94" s="100" t="s">
        <v>98</v>
      </c>
      <c r="C94" s="96" t="s">
        <v>36</v>
      </c>
      <c r="D94" s="96">
        <v>0</v>
      </c>
      <c r="E94" s="101" t="s">
        <v>67</v>
      </c>
      <c r="F94" s="96" t="s">
        <v>25</v>
      </c>
      <c r="G94" s="96" t="s">
        <v>27</v>
      </c>
      <c r="H94" s="106">
        <f>SUM(O18,O26,O34,O62,O70,O79)</f>
        <v>28</v>
      </c>
      <c r="I94" s="26">
        <f>H94*0.6</f>
        <v>16.8</v>
      </c>
      <c r="J94" s="26">
        <f>P18+P26+P34+P62+P70+P79</f>
        <v>290</v>
      </c>
      <c r="K94" s="26">
        <f>J94*0.6</f>
        <v>174</v>
      </c>
      <c r="L94" s="68" t="s">
        <v>139</v>
      </c>
      <c r="N94" s="2"/>
    </row>
    <row r="95" spans="1:19" ht="75" customHeight="1" x14ac:dyDescent="0.25">
      <c r="A95" s="33" t="s">
        <v>73</v>
      </c>
      <c r="B95" s="100" t="s">
        <v>98</v>
      </c>
      <c r="C95" s="96" t="s">
        <v>36</v>
      </c>
      <c r="D95" s="96">
        <v>0</v>
      </c>
      <c r="E95" s="101" t="s">
        <v>140</v>
      </c>
      <c r="F95" s="96" t="s">
        <v>25</v>
      </c>
      <c r="G95" s="96" t="s">
        <v>27</v>
      </c>
      <c r="H95" s="106">
        <f>SUM(O6,O14,O22,O30,O38,O42,O46,O52,O58,O66,O74,O84)</f>
        <v>971</v>
      </c>
      <c r="I95" s="147">
        <f>H95*0.6</f>
        <v>582.6</v>
      </c>
      <c r="J95" s="31">
        <f>SUM(P84,P74,P66,P58,P52,P46,P42,P38,P30,P22,P14,P6)</f>
        <v>2967</v>
      </c>
      <c r="K95" s="163">
        <f>J95*0.6</f>
        <v>1780.2</v>
      </c>
      <c r="L95" s="68" t="s">
        <v>139</v>
      </c>
      <c r="N95" s="2"/>
    </row>
    <row r="96" spans="1:19" ht="90" x14ac:dyDescent="0.25">
      <c r="A96" s="19" t="s">
        <v>76</v>
      </c>
      <c r="B96" s="100" t="s">
        <v>77</v>
      </c>
      <c r="C96" s="96" t="s">
        <v>36</v>
      </c>
      <c r="D96" s="96">
        <v>0</v>
      </c>
      <c r="E96" s="101" t="s">
        <v>67</v>
      </c>
      <c r="F96" s="96" t="s">
        <v>25</v>
      </c>
      <c r="G96" s="96" t="s">
        <v>27</v>
      </c>
      <c r="H96" s="106">
        <f>SUM(O63,O71,O80)</f>
        <v>28</v>
      </c>
      <c r="I96" s="26">
        <f>H96*0.6</f>
        <v>16.8</v>
      </c>
      <c r="J96" s="28">
        <f>SUM(P80,P71,P63)</f>
        <v>205</v>
      </c>
      <c r="K96" s="26">
        <f>J96*0.6</f>
        <v>123</v>
      </c>
      <c r="L96" s="68" t="s">
        <v>139</v>
      </c>
      <c r="M96" s="306"/>
      <c r="N96" s="306"/>
    </row>
    <row r="97" spans="1:14" ht="90" x14ac:dyDescent="0.25">
      <c r="A97" s="19" t="s">
        <v>76</v>
      </c>
      <c r="B97" s="100" t="s">
        <v>77</v>
      </c>
      <c r="C97" s="96" t="s">
        <v>36</v>
      </c>
      <c r="D97" s="96">
        <v>0</v>
      </c>
      <c r="E97" s="101" t="s">
        <v>140</v>
      </c>
      <c r="F97" s="96" t="s">
        <v>25</v>
      </c>
      <c r="G97" s="96" t="s">
        <v>27</v>
      </c>
      <c r="H97" s="106">
        <f>SUM(O7,O15,O23,O31,O39,O43,O47,O53,O59,O67,O75,O85)</f>
        <v>742</v>
      </c>
      <c r="I97" s="147">
        <f>H97*0.65</f>
        <v>482.3</v>
      </c>
      <c r="J97" s="31">
        <f>SUM(P85,P75,P67,P59,P53,P47,P43,P39,P31,P23,P15,P7)</f>
        <v>2365</v>
      </c>
      <c r="K97" s="163">
        <f>J97*0.65</f>
        <v>1537.25</v>
      </c>
      <c r="L97" s="68" t="s">
        <v>141</v>
      </c>
      <c r="M97" s="299"/>
      <c r="N97" s="299"/>
    </row>
    <row r="98" spans="1:14" ht="90" customHeight="1" x14ac:dyDescent="0.25">
      <c r="A98" s="19" t="s">
        <v>78</v>
      </c>
      <c r="B98" s="100" t="s">
        <v>79</v>
      </c>
      <c r="C98" s="96" t="s">
        <v>36</v>
      </c>
      <c r="D98" s="96">
        <v>0</v>
      </c>
      <c r="E98" s="101" t="s">
        <v>67</v>
      </c>
      <c r="F98" s="96" t="s">
        <v>25</v>
      </c>
      <c r="G98" s="96" t="s">
        <v>27</v>
      </c>
      <c r="H98" s="107">
        <f>SUM(O19,O27,O35)</f>
        <v>0</v>
      </c>
      <c r="I98" s="26">
        <f>H98*0.85</f>
        <v>0</v>
      </c>
      <c r="J98" s="28">
        <f>SUM(P35,P27,P19)</f>
        <v>85</v>
      </c>
      <c r="K98" s="26">
        <f>J98*0.85</f>
        <v>72.25</v>
      </c>
      <c r="L98" s="68" t="s">
        <v>142</v>
      </c>
      <c r="M98" s="306"/>
      <c r="N98" s="306"/>
    </row>
    <row r="99" spans="1:14" ht="60" customHeight="1" x14ac:dyDescent="0.25">
      <c r="A99" s="19" t="s">
        <v>78</v>
      </c>
      <c r="B99" s="100" t="s">
        <v>79</v>
      </c>
      <c r="C99" s="96" t="s">
        <v>36</v>
      </c>
      <c r="D99" s="96">
        <v>0</v>
      </c>
      <c r="E99" s="101" t="s">
        <v>140</v>
      </c>
      <c r="F99" s="96" t="s">
        <v>25</v>
      </c>
      <c r="G99" s="96" t="s">
        <v>27</v>
      </c>
      <c r="H99" s="107">
        <f>SUM(O8,O48)</f>
        <v>0</v>
      </c>
      <c r="I99" s="26">
        <f>H99*0.85</f>
        <v>0</v>
      </c>
      <c r="J99" s="31">
        <f>SUM(P48,P8)</f>
        <v>81</v>
      </c>
      <c r="K99" s="26">
        <f>J99*0.85</f>
        <v>68.849999999999994</v>
      </c>
      <c r="L99" s="68" t="s">
        <v>142</v>
      </c>
      <c r="M99" s="299"/>
      <c r="N99" s="299"/>
    </row>
    <row r="100" spans="1:14" ht="105" customHeight="1" x14ac:dyDescent="0.25">
      <c r="A100" s="19" t="s">
        <v>80</v>
      </c>
      <c r="B100" s="100" t="s">
        <v>81</v>
      </c>
      <c r="C100" s="96" t="s">
        <v>36</v>
      </c>
      <c r="D100" s="96">
        <v>0</v>
      </c>
      <c r="E100" s="101" t="s">
        <v>140</v>
      </c>
      <c r="F100" s="96" t="s">
        <v>25</v>
      </c>
      <c r="G100" s="96" t="s">
        <v>27</v>
      </c>
      <c r="H100" s="107">
        <f>SUM(O9)</f>
        <v>229</v>
      </c>
      <c r="I100" s="26">
        <f>H100*0.85</f>
        <v>194.65</v>
      </c>
      <c r="J100" s="31">
        <f>P9</f>
        <v>521</v>
      </c>
      <c r="K100" s="26">
        <f>J100*0.85</f>
        <v>442.84999999999997</v>
      </c>
      <c r="L100" s="68" t="s">
        <v>142</v>
      </c>
      <c r="M100" s="299"/>
      <c r="N100" s="299"/>
    </row>
    <row r="101" spans="1:14" ht="90" x14ac:dyDescent="0.25">
      <c r="A101" s="19" t="s">
        <v>82</v>
      </c>
      <c r="B101" s="100" t="s">
        <v>83</v>
      </c>
      <c r="C101" s="96" t="s">
        <v>36</v>
      </c>
      <c r="D101" s="96">
        <v>0</v>
      </c>
      <c r="E101" s="101" t="s">
        <v>140</v>
      </c>
      <c r="F101" s="96" t="s">
        <v>25</v>
      </c>
      <c r="G101" s="96" t="s">
        <v>27</v>
      </c>
      <c r="H101" s="107">
        <f>O10</f>
        <v>420</v>
      </c>
      <c r="I101" s="26">
        <f>H101*0.85</f>
        <v>357</v>
      </c>
      <c r="J101" s="28">
        <f>P10</f>
        <v>987</v>
      </c>
      <c r="K101" s="26">
        <f>J101*0.85</f>
        <v>838.94999999999993</v>
      </c>
      <c r="L101" s="68" t="s">
        <v>142</v>
      </c>
    </row>
    <row r="102" spans="1:14" ht="212.25" customHeight="1" x14ac:dyDescent="0.25">
      <c r="A102" s="19" t="s">
        <v>84</v>
      </c>
      <c r="B102" s="100" t="s">
        <v>85</v>
      </c>
      <c r="C102" s="100" t="s">
        <v>36</v>
      </c>
      <c r="D102" s="96">
        <v>0</v>
      </c>
      <c r="E102" s="101" t="s">
        <v>140</v>
      </c>
      <c r="F102" s="96" t="s">
        <v>25</v>
      </c>
      <c r="G102" s="96" t="s">
        <v>27</v>
      </c>
      <c r="H102" s="107">
        <f>O11</f>
        <v>420</v>
      </c>
      <c r="I102" s="26">
        <f>H102*0.85</f>
        <v>357</v>
      </c>
      <c r="J102" s="28">
        <f>P11</f>
        <v>987</v>
      </c>
      <c r="K102" s="26">
        <f>J102*0.85</f>
        <v>838.94999999999993</v>
      </c>
      <c r="L102" s="68" t="s">
        <v>142</v>
      </c>
    </row>
    <row r="103" spans="1:14" ht="207.75" customHeight="1" x14ac:dyDescent="0.25">
      <c r="A103" s="19" t="s">
        <v>86</v>
      </c>
      <c r="B103" s="100" t="s">
        <v>87</v>
      </c>
      <c r="C103" s="100" t="s">
        <v>26</v>
      </c>
      <c r="D103" s="96">
        <v>0</v>
      </c>
      <c r="E103" s="101" t="s">
        <v>140</v>
      </c>
      <c r="F103" s="96" t="s">
        <v>25</v>
      </c>
      <c r="G103" s="96">
        <v>2021</v>
      </c>
      <c r="H103" s="107" t="s">
        <v>27</v>
      </c>
      <c r="I103" s="27" t="s">
        <v>143</v>
      </c>
      <c r="J103" s="63">
        <f>P12+P49</f>
        <v>2002</v>
      </c>
      <c r="K103" s="25"/>
      <c r="L103" s="66"/>
    </row>
    <row r="104" spans="1:14" ht="210" x14ac:dyDescent="0.25">
      <c r="A104" s="33" t="s">
        <v>89</v>
      </c>
      <c r="B104" s="100" t="s">
        <v>144</v>
      </c>
      <c r="C104" s="100" t="s">
        <v>91</v>
      </c>
      <c r="D104" s="96">
        <v>0</v>
      </c>
      <c r="E104" s="101" t="s">
        <v>67</v>
      </c>
      <c r="F104" s="96" t="s">
        <v>25</v>
      </c>
      <c r="G104" s="32">
        <v>2021</v>
      </c>
      <c r="H104" s="107" t="s">
        <v>27</v>
      </c>
      <c r="I104" s="27" t="s">
        <v>145</v>
      </c>
      <c r="J104" s="31">
        <f>SUM(P81,P72,P64,P36,P28,P20)</f>
        <v>94436839</v>
      </c>
      <c r="K104" s="25"/>
      <c r="L104" s="66"/>
    </row>
    <row r="105" spans="1:14" ht="210" x14ac:dyDescent="0.25">
      <c r="A105" s="33" t="s">
        <v>89</v>
      </c>
      <c r="B105" s="100" t="s">
        <v>144</v>
      </c>
      <c r="C105" s="100" t="s">
        <v>91</v>
      </c>
      <c r="D105" s="96">
        <v>0</v>
      </c>
      <c r="E105" s="101" t="s">
        <v>140</v>
      </c>
      <c r="F105" s="96" t="s">
        <v>25</v>
      </c>
      <c r="G105" s="32">
        <v>2021</v>
      </c>
      <c r="H105" s="107" t="s">
        <v>27</v>
      </c>
      <c r="I105" s="27" t="s">
        <v>145</v>
      </c>
      <c r="J105" s="163">
        <f>SUM(P13,P16,P24,P32,P40,P44,P50,P54,P60,P68,P76,P86)</f>
        <v>204114912.31</v>
      </c>
      <c r="K105" s="25"/>
      <c r="L105" s="66"/>
    </row>
    <row r="106" spans="1:14" ht="60" customHeight="1" x14ac:dyDescent="0.25">
      <c r="A106" s="19" t="s">
        <v>110</v>
      </c>
      <c r="B106" s="100" t="s">
        <v>111</v>
      </c>
      <c r="C106" s="96" t="s">
        <v>36</v>
      </c>
      <c r="D106" s="96">
        <v>0</v>
      </c>
      <c r="E106" s="101" t="s">
        <v>140</v>
      </c>
      <c r="F106" s="96" t="s">
        <v>25</v>
      </c>
      <c r="G106" s="96">
        <v>2021</v>
      </c>
      <c r="H106" s="107" t="s">
        <v>27</v>
      </c>
      <c r="I106" s="27" t="s">
        <v>143</v>
      </c>
      <c r="J106" s="62">
        <f>SUM(P41,P55,P77)</f>
        <v>668</v>
      </c>
      <c r="K106" s="186">
        <f>J106*0.8</f>
        <v>534.4</v>
      </c>
      <c r="L106" s="86" t="s">
        <v>146</v>
      </c>
      <c r="M106" s="29"/>
      <c r="N106" s="30"/>
    </row>
    <row r="107" spans="1:14" ht="111" customHeight="1" x14ac:dyDescent="0.25">
      <c r="A107" s="64" t="s">
        <v>110</v>
      </c>
      <c r="B107" s="4" t="s">
        <v>111</v>
      </c>
      <c r="C107" s="32" t="s">
        <v>36</v>
      </c>
      <c r="D107" s="32">
        <v>0</v>
      </c>
      <c r="E107" s="65" t="s">
        <v>67</v>
      </c>
      <c r="F107" s="32" t="s">
        <v>25</v>
      </c>
      <c r="G107" s="32">
        <v>2021</v>
      </c>
      <c r="H107" s="32" t="s">
        <v>27</v>
      </c>
      <c r="I107" s="27"/>
      <c r="J107" s="62">
        <f>P82</f>
        <v>21</v>
      </c>
      <c r="K107" s="186">
        <f>J107*0.8</f>
        <v>16.8</v>
      </c>
      <c r="L107" s="86" t="s">
        <v>146</v>
      </c>
      <c r="M107" s="29"/>
      <c r="N107" s="30"/>
    </row>
    <row r="108" spans="1:14" ht="120" x14ac:dyDescent="0.25">
      <c r="A108" s="19" t="s">
        <v>122</v>
      </c>
      <c r="B108" s="100" t="s">
        <v>123</v>
      </c>
      <c r="C108" s="96" t="s">
        <v>36</v>
      </c>
      <c r="D108" s="96">
        <v>0</v>
      </c>
      <c r="E108" s="101" t="s">
        <v>140</v>
      </c>
      <c r="F108" s="96" t="s">
        <v>25</v>
      </c>
      <c r="G108" s="96">
        <v>2021</v>
      </c>
      <c r="H108" s="107" t="s">
        <v>27</v>
      </c>
      <c r="I108" s="27"/>
      <c r="J108" s="28">
        <f>P56</f>
        <v>340</v>
      </c>
      <c r="K108" s="187">
        <f>J108*0.8</f>
        <v>272</v>
      </c>
      <c r="L108" s="86" t="s">
        <v>147</v>
      </c>
      <c r="M108" s="29"/>
    </row>
    <row r="109" spans="1:14" ht="90" x14ac:dyDescent="0.25">
      <c r="A109" s="19" t="s">
        <v>117</v>
      </c>
      <c r="B109" s="100" t="s">
        <v>118</v>
      </c>
      <c r="C109" s="96" t="s">
        <v>36</v>
      </c>
      <c r="D109" s="96">
        <v>0</v>
      </c>
      <c r="E109" s="101" t="s">
        <v>140</v>
      </c>
      <c r="F109" s="96" t="s">
        <v>25</v>
      </c>
      <c r="G109" s="96">
        <v>2021</v>
      </c>
      <c r="H109" s="107" t="s">
        <v>27</v>
      </c>
      <c r="I109" s="27"/>
      <c r="J109" s="26">
        <f>P51+P57</f>
        <v>625</v>
      </c>
      <c r="K109" s="187">
        <f>J109*0.8</f>
        <v>500</v>
      </c>
      <c r="L109" s="87" t="s">
        <v>147</v>
      </c>
      <c r="M109" s="29"/>
    </row>
    <row r="110" spans="1:14" ht="135" x14ac:dyDescent="0.25">
      <c r="A110" s="19" t="s">
        <v>95</v>
      </c>
      <c r="B110" s="100" t="s">
        <v>96</v>
      </c>
      <c r="C110" s="100" t="s">
        <v>26</v>
      </c>
      <c r="D110" s="96">
        <v>0</v>
      </c>
      <c r="E110" s="101" t="s">
        <v>67</v>
      </c>
      <c r="F110" s="96" t="s">
        <v>25</v>
      </c>
      <c r="G110" s="96">
        <v>2021</v>
      </c>
      <c r="H110" s="107" t="s">
        <v>27</v>
      </c>
      <c r="I110" s="27"/>
      <c r="J110" s="28">
        <f>P21+P29+P37</f>
        <v>92</v>
      </c>
      <c r="K110" s="25"/>
      <c r="L110" s="66"/>
    </row>
    <row r="111" spans="1:14" ht="135" x14ac:dyDescent="0.25">
      <c r="A111" s="19" t="s">
        <v>95</v>
      </c>
      <c r="B111" s="100" t="s">
        <v>96</v>
      </c>
      <c r="C111" s="100" t="s">
        <v>26</v>
      </c>
      <c r="D111" s="96">
        <v>0</v>
      </c>
      <c r="E111" s="101" t="s">
        <v>140</v>
      </c>
      <c r="F111" s="96" t="s">
        <v>25</v>
      </c>
      <c r="G111" s="96">
        <v>2021</v>
      </c>
      <c r="H111" s="107" t="s">
        <v>27</v>
      </c>
      <c r="I111" s="27"/>
      <c r="J111" s="147">
        <f>P17+P25+P33+P45+P87</f>
        <v>155</v>
      </c>
      <c r="K111" s="25"/>
      <c r="L111" s="66"/>
    </row>
    <row r="112" spans="1:14" ht="201" customHeight="1" x14ac:dyDescent="0.25">
      <c r="A112" s="32" t="str">
        <f>H61</f>
        <v>Specific result</v>
      </c>
      <c r="B112" s="4" t="str">
        <f>I61</f>
        <v>An innovative product introduced to the market by the participant of prie-commercial procurement (Ikiprekybinio pirkimo dalyvio pateiktas rinkai inovatyvusis produktas)</v>
      </c>
      <c r="C112" s="32" t="str">
        <f>L61</f>
        <v>number</v>
      </c>
      <c r="D112" s="32">
        <v>0</v>
      </c>
      <c r="E112" s="4" t="s">
        <v>140</v>
      </c>
      <c r="F112" s="32" t="s">
        <v>25</v>
      </c>
      <c r="G112" s="32">
        <v>2021</v>
      </c>
      <c r="H112" s="32" t="s">
        <v>27</v>
      </c>
      <c r="I112" s="60"/>
      <c r="J112" s="61">
        <f>P61+P69</f>
        <v>15</v>
      </c>
      <c r="K112" s="25"/>
      <c r="L112" s="66"/>
    </row>
    <row r="113" spans="1:17" ht="210.75" customHeight="1" x14ac:dyDescent="0.25">
      <c r="A113" s="32" t="str">
        <f>H65</f>
        <v>Specific result</v>
      </c>
      <c r="B113" s="4" t="str">
        <f>I65</f>
        <v>An innovative product introduced to the market by the participant of prie-commercial procurement (Ikiprekybinio pirkimo dalyvio pateiktas rinkai inovatyvusis produktas)</v>
      </c>
      <c r="C113" s="32" t="str">
        <f>L65</f>
        <v>number</v>
      </c>
      <c r="D113" s="32">
        <v>0</v>
      </c>
      <c r="E113" s="4" t="s">
        <v>67</v>
      </c>
      <c r="F113" s="32" t="s">
        <v>25</v>
      </c>
      <c r="G113" s="32">
        <v>2021</v>
      </c>
      <c r="H113" s="32" t="s">
        <v>27</v>
      </c>
      <c r="I113" s="60"/>
      <c r="J113" s="61">
        <f>P65+P73</f>
        <v>11</v>
      </c>
      <c r="K113" s="25"/>
      <c r="L113" s="66"/>
    </row>
    <row r="114" spans="1:17" ht="142.5" customHeight="1" x14ac:dyDescent="0.25">
      <c r="A114" s="32" t="str">
        <f>H83</f>
        <v>Specific result</v>
      </c>
      <c r="B114" s="4" t="str">
        <f>I83</f>
        <v>Submitted applications for R&amp;D and Innovation initiative(Pateiktos paraiškos konkrečiai MTEPI iniciatyvai)</v>
      </c>
      <c r="C114" s="32" t="str">
        <f>L83</f>
        <v>number</v>
      </c>
      <c r="D114" s="32">
        <v>0</v>
      </c>
      <c r="E114" s="4" t="s">
        <v>67</v>
      </c>
      <c r="F114" s="32" t="s">
        <v>25</v>
      </c>
      <c r="G114" s="32">
        <v>2021</v>
      </c>
      <c r="H114" s="32" t="s">
        <v>27</v>
      </c>
      <c r="I114" s="60"/>
      <c r="J114" s="61">
        <f>P83</f>
        <v>192</v>
      </c>
      <c r="K114" s="161"/>
      <c r="L114" s="66"/>
    </row>
    <row r="115" spans="1:17" ht="132.75" customHeight="1" x14ac:dyDescent="0.25">
      <c r="A115" s="32" t="str">
        <f>H78</f>
        <v>Specific result</v>
      </c>
      <c r="B115" s="4" t="str">
        <f>I78</f>
        <v>Submitted applications for R&amp;D and Innovation initiative(Pateiktos paraiškos konkrečiai MTEPI iniciatyvai)</v>
      </c>
      <c r="C115" s="32" t="str">
        <f>L78</f>
        <v>number</v>
      </c>
      <c r="D115" s="32">
        <v>0</v>
      </c>
      <c r="E115" s="4" t="s">
        <v>140</v>
      </c>
      <c r="F115" s="32" t="s">
        <v>25</v>
      </c>
      <c r="G115" s="32">
        <v>2021</v>
      </c>
      <c r="H115" s="32" t="s">
        <v>27</v>
      </c>
      <c r="I115" s="60"/>
      <c r="J115" s="61">
        <f>P78</f>
        <v>131</v>
      </c>
      <c r="K115" s="161"/>
      <c r="L115" s="66"/>
    </row>
    <row r="116" spans="1:17" x14ac:dyDescent="0.25">
      <c r="H116" s="108">
        <f>SUM(H94:H113)</f>
        <v>2838</v>
      </c>
      <c r="I116" s="3">
        <f>SUM(I94:I113)</f>
        <v>2007.15</v>
      </c>
      <c r="J116" s="3">
        <f>SUM(J94:J115)</f>
        <v>298564491.31</v>
      </c>
      <c r="K116" s="3">
        <f>SUM(K94:K113)</f>
        <v>7199.4999999999991</v>
      </c>
      <c r="L116" s="1"/>
      <c r="M116" s="1"/>
      <c r="N116" s="1"/>
      <c r="O116" t="b">
        <f>J116=P88</f>
        <v>1</v>
      </c>
      <c r="P116" s="2"/>
      <c r="Q116" s="1"/>
    </row>
    <row r="117" spans="1:17" x14ac:dyDescent="0.25">
      <c r="H117" s="109"/>
      <c r="J117" s="3"/>
      <c r="L117" s="1"/>
      <c r="M117" s="1"/>
      <c r="N117" s="1"/>
      <c r="P117" s="2"/>
      <c r="Q117" s="1"/>
    </row>
  </sheetData>
  <mergeCells count="166">
    <mergeCell ref="A1:H1"/>
    <mergeCell ref="J38:J41"/>
    <mergeCell ref="K38:K41"/>
    <mergeCell ref="B22:B25"/>
    <mergeCell ref="C22:C25"/>
    <mergeCell ref="D22:D29"/>
    <mergeCell ref="E22:E25"/>
    <mergeCell ref="F22:F25"/>
    <mergeCell ref="A6:A13"/>
    <mergeCell ref="B6:B13"/>
    <mergeCell ref="C6:C13"/>
    <mergeCell ref="D6:D13"/>
    <mergeCell ref="E6:E13"/>
    <mergeCell ref="F6:F13"/>
    <mergeCell ref="E18:E21"/>
    <mergeCell ref="K30:K33"/>
    <mergeCell ref="B34:B37"/>
    <mergeCell ref="C34:C37"/>
    <mergeCell ref="E34:E37"/>
    <mergeCell ref="B30:B33"/>
    <mergeCell ref="D30:D37"/>
    <mergeCell ref="E30:E33"/>
    <mergeCell ref="B38:B41"/>
    <mergeCell ref="C38:C41"/>
    <mergeCell ref="S4:S5"/>
    <mergeCell ref="Q4:Q5"/>
    <mergeCell ref="R4:R5"/>
    <mergeCell ref="P4:P5"/>
    <mergeCell ref="M98:N98"/>
    <mergeCell ref="J26:J29"/>
    <mergeCell ref="M96:N96"/>
    <mergeCell ref="M97:N97"/>
    <mergeCell ref="F14:F17"/>
    <mergeCell ref="J4:J5"/>
    <mergeCell ref="K4:K5"/>
    <mergeCell ref="L4:L5"/>
    <mergeCell ref="M4:N4"/>
    <mergeCell ref="G42:G45"/>
    <mergeCell ref="G30:G33"/>
    <mergeCell ref="J30:J33"/>
    <mergeCell ref="J42:J45"/>
    <mergeCell ref="H4:I4"/>
    <mergeCell ref="F46:F51"/>
    <mergeCell ref="G46:G51"/>
    <mergeCell ref="F30:F33"/>
    <mergeCell ref="F38:F41"/>
    <mergeCell ref="J79:J83"/>
    <mergeCell ref="K79:K83"/>
    <mergeCell ref="M99:N99"/>
    <mergeCell ref="M100:N100"/>
    <mergeCell ref="A4:A5"/>
    <mergeCell ref="B4:B5"/>
    <mergeCell ref="C4:C5"/>
    <mergeCell ref="D4:F4"/>
    <mergeCell ref="G4:G5"/>
    <mergeCell ref="E84:E87"/>
    <mergeCell ref="F84:F87"/>
    <mergeCell ref="G84:G87"/>
    <mergeCell ref="J84:J87"/>
    <mergeCell ref="K84:K87"/>
    <mergeCell ref="A52:A57"/>
    <mergeCell ref="B52:B57"/>
    <mergeCell ref="C52:C57"/>
    <mergeCell ref="B46:B51"/>
    <mergeCell ref="G6:G13"/>
    <mergeCell ref="J6:J13"/>
    <mergeCell ref="A14:A45"/>
    <mergeCell ref="F42:F45"/>
    <mergeCell ref="B18:B21"/>
    <mergeCell ref="C18:C21"/>
    <mergeCell ref="J70:J73"/>
    <mergeCell ref="K6:K13"/>
    <mergeCell ref="C46:C51"/>
    <mergeCell ref="D46:D51"/>
    <mergeCell ref="E46:E51"/>
    <mergeCell ref="B62:B65"/>
    <mergeCell ref="A84:A87"/>
    <mergeCell ref="O4:O5"/>
    <mergeCell ref="D52:D57"/>
    <mergeCell ref="E52:E57"/>
    <mergeCell ref="F52:F57"/>
    <mergeCell ref="G52:G57"/>
    <mergeCell ref="K74:K78"/>
    <mergeCell ref="D74:D83"/>
    <mergeCell ref="C79:C83"/>
    <mergeCell ref="B79:B83"/>
    <mergeCell ref="D38:D41"/>
    <mergeCell ref="K26:K29"/>
    <mergeCell ref="K18:K21"/>
    <mergeCell ref="J22:J25"/>
    <mergeCell ref="K22:K25"/>
    <mergeCell ref="G26:G29"/>
    <mergeCell ref="G18:G21"/>
    <mergeCell ref="J18:J21"/>
    <mergeCell ref="G22:G25"/>
    <mergeCell ref="K42:K45"/>
    <mergeCell ref="K52:K57"/>
    <mergeCell ref="B84:B87"/>
    <mergeCell ref="C84:C87"/>
    <mergeCell ref="D84:D87"/>
    <mergeCell ref="G58:G61"/>
    <mergeCell ref="F58:F61"/>
    <mergeCell ref="E58:E61"/>
    <mergeCell ref="C58:C61"/>
    <mergeCell ref="G66:G69"/>
    <mergeCell ref="G62:G65"/>
    <mergeCell ref="F62:F65"/>
    <mergeCell ref="E62:E65"/>
    <mergeCell ref="E66:E69"/>
    <mergeCell ref="C70:C73"/>
    <mergeCell ref="D66:D73"/>
    <mergeCell ref="B70:B73"/>
    <mergeCell ref="B66:B69"/>
    <mergeCell ref="F66:F69"/>
    <mergeCell ref="C66:C69"/>
    <mergeCell ref="J74:J78"/>
    <mergeCell ref="K70:K73"/>
    <mergeCell ref="J62:J65"/>
    <mergeCell ref="K62:K65"/>
    <mergeCell ref="G14:G17"/>
    <mergeCell ref="J14:J17"/>
    <mergeCell ref="K14:K17"/>
    <mergeCell ref="B42:B45"/>
    <mergeCell ref="C42:C45"/>
    <mergeCell ref="D42:D45"/>
    <mergeCell ref="E42:E45"/>
    <mergeCell ref="B26:B29"/>
    <mergeCell ref="C26:C29"/>
    <mergeCell ref="E26:E29"/>
    <mergeCell ref="F26:F29"/>
    <mergeCell ref="F18:F21"/>
    <mergeCell ref="J34:J37"/>
    <mergeCell ref="K34:K37"/>
    <mergeCell ref="E38:E41"/>
    <mergeCell ref="G38:G41"/>
    <mergeCell ref="F34:F37"/>
    <mergeCell ref="G34:G37"/>
    <mergeCell ref="C30:C33"/>
    <mergeCell ref="B14:B17"/>
    <mergeCell ref="C14:C17"/>
    <mergeCell ref="D14:D21"/>
    <mergeCell ref="E14:E17"/>
    <mergeCell ref="A58:A73"/>
    <mergeCell ref="J46:J51"/>
    <mergeCell ref="J52:J57"/>
    <mergeCell ref="C74:C78"/>
    <mergeCell ref="C62:C65"/>
    <mergeCell ref="D58:D65"/>
    <mergeCell ref="K58:K61"/>
    <mergeCell ref="J66:J69"/>
    <mergeCell ref="K66:K69"/>
    <mergeCell ref="A46:A51"/>
    <mergeCell ref="J58:J61"/>
    <mergeCell ref="B58:B61"/>
    <mergeCell ref="B74:B78"/>
    <mergeCell ref="E74:E78"/>
    <mergeCell ref="F74:F78"/>
    <mergeCell ref="G74:G78"/>
    <mergeCell ref="G70:G73"/>
    <mergeCell ref="F70:F73"/>
    <mergeCell ref="E70:E73"/>
    <mergeCell ref="A74:A83"/>
    <mergeCell ref="G79:G83"/>
    <mergeCell ref="F79:F83"/>
    <mergeCell ref="E79:E83"/>
    <mergeCell ref="K46:K51"/>
  </mergeCells>
  <phoneticPr fontId="18"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C11" sqref="C11"/>
    </sheetView>
  </sheetViews>
  <sheetFormatPr defaultColWidth="9.140625" defaultRowHeight="15" x14ac:dyDescent="0.25"/>
  <cols>
    <col min="2" max="2" width="32.5703125" customWidth="1"/>
    <col min="3" max="3" width="128.140625" customWidth="1"/>
  </cols>
  <sheetData>
    <row r="1" spans="1:3" x14ac:dyDescent="0.25">
      <c r="A1" s="92" t="s">
        <v>148</v>
      </c>
      <c r="B1" s="5" t="s">
        <v>149</v>
      </c>
      <c r="C1" s="92" t="s">
        <v>150</v>
      </c>
    </row>
    <row r="2" spans="1:3" x14ac:dyDescent="0.25">
      <c r="A2" s="92">
        <v>1</v>
      </c>
      <c r="B2" s="6" t="s">
        <v>60</v>
      </c>
      <c r="C2" s="6" t="s">
        <v>151</v>
      </c>
    </row>
    <row r="3" spans="1:3" x14ac:dyDescent="0.25">
      <c r="A3" s="92">
        <f t="shared" ref="A3:A19" si="0">A2+1</f>
        <v>2</v>
      </c>
      <c r="B3" s="6" t="s">
        <v>61</v>
      </c>
      <c r="C3" s="7" t="s">
        <v>300</v>
      </c>
    </row>
    <row r="4" spans="1:3" x14ac:dyDescent="0.25">
      <c r="A4" s="92">
        <f t="shared" si="0"/>
        <v>3</v>
      </c>
      <c r="B4" s="6" t="s">
        <v>152</v>
      </c>
      <c r="C4" s="6" t="s">
        <v>153</v>
      </c>
    </row>
    <row r="5" spans="1:3" x14ac:dyDescent="0.25">
      <c r="A5" s="92">
        <f t="shared" si="0"/>
        <v>4</v>
      </c>
      <c r="B5" s="6" t="s">
        <v>154</v>
      </c>
      <c r="C5" s="6" t="s">
        <v>155</v>
      </c>
    </row>
    <row r="6" spans="1:3" x14ac:dyDescent="0.25">
      <c r="A6" s="92">
        <f t="shared" si="0"/>
        <v>5</v>
      </c>
      <c r="B6" s="6" t="s">
        <v>10</v>
      </c>
      <c r="C6" s="6">
        <v>0</v>
      </c>
    </row>
    <row r="7" spans="1:3" x14ac:dyDescent="0.25">
      <c r="A7" s="92">
        <f t="shared" si="0"/>
        <v>6</v>
      </c>
      <c r="B7" s="6" t="s">
        <v>11</v>
      </c>
      <c r="C7" s="6" t="s">
        <v>156</v>
      </c>
    </row>
    <row r="8" spans="1:3" x14ac:dyDescent="0.25">
      <c r="A8" s="92">
        <f t="shared" si="0"/>
        <v>7</v>
      </c>
      <c r="B8" s="6" t="s">
        <v>12</v>
      </c>
      <c r="C8" s="6" t="s">
        <v>301</v>
      </c>
    </row>
    <row r="9" spans="1:3" x14ac:dyDescent="0.25">
      <c r="A9" s="92">
        <f t="shared" si="0"/>
        <v>8</v>
      </c>
      <c r="B9" s="6" t="s">
        <v>157</v>
      </c>
      <c r="C9" s="6" t="s">
        <v>158</v>
      </c>
    </row>
    <row r="10" spans="1:3" x14ac:dyDescent="0.25">
      <c r="A10" s="92">
        <f t="shared" si="0"/>
        <v>9</v>
      </c>
      <c r="B10" s="6" t="s">
        <v>159</v>
      </c>
      <c r="C10" s="7" t="s">
        <v>160</v>
      </c>
    </row>
    <row r="11" spans="1:3" ht="255" x14ac:dyDescent="0.25">
      <c r="A11" s="92">
        <f t="shared" si="0"/>
        <v>10</v>
      </c>
      <c r="B11" s="6" t="s">
        <v>161</v>
      </c>
      <c r="C11" s="7" t="s">
        <v>162</v>
      </c>
    </row>
    <row r="12" spans="1:3" x14ac:dyDescent="0.25">
      <c r="A12" s="92">
        <f t="shared" si="0"/>
        <v>11</v>
      </c>
      <c r="B12" s="6" t="s">
        <v>163</v>
      </c>
      <c r="C12" s="6" t="s">
        <v>164</v>
      </c>
    </row>
    <row r="13" spans="1:3" ht="30" x14ac:dyDescent="0.25">
      <c r="A13" s="92">
        <f t="shared" si="0"/>
        <v>12</v>
      </c>
      <c r="B13" s="6" t="s">
        <v>165</v>
      </c>
      <c r="C13" s="8" t="s">
        <v>166</v>
      </c>
    </row>
    <row r="14" spans="1:3" ht="45" x14ac:dyDescent="0.25">
      <c r="A14" s="92">
        <f t="shared" si="0"/>
        <v>13</v>
      </c>
      <c r="B14" s="6" t="s">
        <v>167</v>
      </c>
      <c r="C14" s="7" t="s">
        <v>168</v>
      </c>
    </row>
    <row r="15" spans="1:3" ht="30" x14ac:dyDescent="0.25">
      <c r="A15" s="92">
        <f t="shared" si="0"/>
        <v>14</v>
      </c>
      <c r="B15" s="6" t="s">
        <v>169</v>
      </c>
      <c r="C15" s="8" t="s">
        <v>170</v>
      </c>
    </row>
    <row r="16" spans="1:3" x14ac:dyDescent="0.25">
      <c r="A16" s="92">
        <f t="shared" si="0"/>
        <v>15</v>
      </c>
      <c r="B16" s="6" t="s">
        <v>171</v>
      </c>
      <c r="C16" s="8" t="s">
        <v>172</v>
      </c>
    </row>
    <row r="17" spans="1:3" x14ac:dyDescent="0.25">
      <c r="A17" s="92">
        <f t="shared" si="0"/>
        <v>16</v>
      </c>
      <c r="B17" s="6" t="s">
        <v>173</v>
      </c>
      <c r="C17" s="9" t="s">
        <v>174</v>
      </c>
    </row>
    <row r="18" spans="1:3" x14ac:dyDescent="0.25">
      <c r="A18" s="92">
        <f t="shared" si="0"/>
        <v>17</v>
      </c>
      <c r="B18" s="6" t="s">
        <v>175</v>
      </c>
      <c r="C18" s="7" t="s">
        <v>176</v>
      </c>
    </row>
    <row r="19" spans="1:3" x14ac:dyDescent="0.25">
      <c r="A19" s="92">
        <f t="shared" si="0"/>
        <v>18</v>
      </c>
      <c r="B19" s="6" t="s">
        <v>177</v>
      </c>
      <c r="C19" s="9" t="s">
        <v>178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1" sqref="C11"/>
    </sheetView>
  </sheetViews>
  <sheetFormatPr defaultColWidth="9.140625" defaultRowHeight="15" x14ac:dyDescent="0.25"/>
  <cols>
    <col min="1" max="1" width="9.140625" style="94"/>
    <col min="2" max="2" width="37" style="2" bestFit="1" customWidth="1"/>
    <col min="3" max="3" width="143.42578125" style="30" customWidth="1"/>
    <col min="4" max="4" width="7.7109375" style="95" customWidth="1"/>
    <col min="5" max="16384" width="9.140625" style="93"/>
  </cols>
  <sheetData>
    <row r="1" spans="1:3" s="93" customFormat="1" x14ac:dyDescent="0.25">
      <c r="A1" s="92" t="s">
        <v>148</v>
      </c>
      <c r="B1" s="92" t="s">
        <v>149</v>
      </c>
      <c r="C1" s="92" t="s">
        <v>150</v>
      </c>
    </row>
    <row r="2" spans="1:3" s="93" customFormat="1" x14ac:dyDescent="0.25">
      <c r="A2" s="92">
        <v>1</v>
      </c>
      <c r="B2" s="7" t="s">
        <v>60</v>
      </c>
      <c r="C2" s="7" t="s">
        <v>179</v>
      </c>
    </row>
    <row r="3" spans="1:3" s="93" customFormat="1" x14ac:dyDescent="0.25">
      <c r="A3" s="92">
        <f>A2+1</f>
        <v>2</v>
      </c>
      <c r="B3" s="7" t="s">
        <v>61</v>
      </c>
      <c r="C3" s="8" t="s">
        <v>180</v>
      </c>
    </row>
    <row r="4" spans="1:3" s="93" customFormat="1" x14ac:dyDescent="0.25">
      <c r="A4" s="92">
        <f t="shared" ref="A4:A19" si="0">A3+1</f>
        <v>3</v>
      </c>
      <c r="B4" s="7" t="s">
        <v>152</v>
      </c>
      <c r="C4" s="8" t="s">
        <v>153</v>
      </c>
    </row>
    <row r="5" spans="1:3" s="93" customFormat="1" x14ac:dyDescent="0.25">
      <c r="A5" s="92">
        <f t="shared" si="0"/>
        <v>4</v>
      </c>
      <c r="B5" s="7" t="s">
        <v>154</v>
      </c>
      <c r="C5" s="8" t="s">
        <v>181</v>
      </c>
    </row>
    <row r="6" spans="1:3" s="93" customFormat="1" x14ac:dyDescent="0.25">
      <c r="A6" s="92">
        <f t="shared" si="0"/>
        <v>5</v>
      </c>
      <c r="B6" s="7" t="s">
        <v>10</v>
      </c>
      <c r="C6" s="8">
        <v>0</v>
      </c>
    </row>
    <row r="7" spans="1:3" s="93" customFormat="1" x14ac:dyDescent="0.25">
      <c r="A7" s="92">
        <f t="shared" si="0"/>
        <v>6</v>
      </c>
      <c r="B7" s="7" t="s">
        <v>11</v>
      </c>
      <c r="C7" s="8" t="s">
        <v>302</v>
      </c>
    </row>
    <row r="8" spans="1:3" s="93" customFormat="1" x14ac:dyDescent="0.25">
      <c r="A8" s="92">
        <f t="shared" si="0"/>
        <v>7</v>
      </c>
      <c r="B8" s="7" t="s">
        <v>12</v>
      </c>
      <c r="C8" s="8" t="s">
        <v>303</v>
      </c>
    </row>
    <row r="9" spans="1:3" s="93" customFormat="1" x14ac:dyDescent="0.25">
      <c r="A9" s="92">
        <f t="shared" si="0"/>
        <v>8</v>
      </c>
      <c r="B9" s="7" t="s">
        <v>157</v>
      </c>
      <c r="C9" s="8" t="s">
        <v>158</v>
      </c>
    </row>
    <row r="10" spans="1:3" s="93" customFormat="1" x14ac:dyDescent="0.25">
      <c r="A10" s="92">
        <f t="shared" si="0"/>
        <v>9</v>
      </c>
      <c r="B10" s="7" t="s">
        <v>159</v>
      </c>
      <c r="C10" s="8" t="s">
        <v>160</v>
      </c>
    </row>
    <row r="11" spans="1:3" s="93" customFormat="1" ht="60" x14ac:dyDescent="0.25">
      <c r="A11" s="92">
        <f t="shared" si="0"/>
        <v>10</v>
      </c>
      <c r="B11" s="7" t="s">
        <v>161</v>
      </c>
      <c r="C11" s="8" t="s">
        <v>182</v>
      </c>
    </row>
    <row r="12" spans="1:3" s="93" customFormat="1" x14ac:dyDescent="0.25">
      <c r="A12" s="92">
        <f t="shared" si="0"/>
        <v>11</v>
      </c>
      <c r="B12" s="7" t="s">
        <v>163</v>
      </c>
      <c r="C12" s="8" t="s">
        <v>75</v>
      </c>
    </row>
    <row r="13" spans="1:3" s="93" customFormat="1" x14ac:dyDescent="0.25">
      <c r="A13" s="92">
        <f t="shared" si="0"/>
        <v>12</v>
      </c>
      <c r="B13" s="7" t="s">
        <v>165</v>
      </c>
      <c r="C13" s="8" t="s">
        <v>183</v>
      </c>
    </row>
    <row r="14" spans="1:3" s="93" customFormat="1" x14ac:dyDescent="0.25">
      <c r="A14" s="92">
        <f t="shared" si="0"/>
        <v>13</v>
      </c>
      <c r="B14" s="7" t="s">
        <v>167</v>
      </c>
      <c r="C14" s="8" t="s">
        <v>184</v>
      </c>
    </row>
    <row r="15" spans="1:3" s="93" customFormat="1" x14ac:dyDescent="0.25">
      <c r="A15" s="92">
        <f t="shared" si="0"/>
        <v>14</v>
      </c>
      <c r="B15" s="7" t="s">
        <v>169</v>
      </c>
      <c r="C15" s="8" t="s">
        <v>170</v>
      </c>
    </row>
    <row r="16" spans="1:3" s="93" customFormat="1" x14ac:dyDescent="0.25">
      <c r="A16" s="92">
        <f t="shared" si="0"/>
        <v>15</v>
      </c>
      <c r="B16" s="7" t="s">
        <v>171</v>
      </c>
      <c r="C16" s="8" t="s">
        <v>172</v>
      </c>
    </row>
    <row r="17" spans="1:4" x14ac:dyDescent="0.25">
      <c r="A17" s="92">
        <f t="shared" si="0"/>
        <v>16</v>
      </c>
      <c r="B17" s="7" t="s">
        <v>173</v>
      </c>
      <c r="C17" s="9" t="s">
        <v>185</v>
      </c>
      <c r="D17" s="93"/>
    </row>
    <row r="18" spans="1:4" x14ac:dyDescent="0.25">
      <c r="A18" s="92">
        <f>A17+1</f>
        <v>17</v>
      </c>
      <c r="B18" s="7" t="s">
        <v>175</v>
      </c>
      <c r="C18" s="8" t="s">
        <v>186</v>
      </c>
      <c r="D18" s="93"/>
    </row>
    <row r="19" spans="1:4" x14ac:dyDescent="0.25">
      <c r="A19" s="92">
        <f t="shared" si="0"/>
        <v>18</v>
      </c>
      <c r="B19" s="7" t="s">
        <v>177</v>
      </c>
      <c r="C19" s="9" t="s">
        <v>178</v>
      </c>
      <c r="D19" s="9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7" zoomScale="75" zoomScaleNormal="75" workbookViewId="0">
      <selection activeCell="C11" sqref="C11"/>
    </sheetView>
  </sheetViews>
  <sheetFormatPr defaultColWidth="9.140625" defaultRowHeight="15" x14ac:dyDescent="0.25"/>
  <cols>
    <col min="1" max="1" width="9.140625" style="95"/>
    <col min="2" max="2" width="34.85546875" style="93" bestFit="1" customWidth="1"/>
    <col min="3" max="3" width="123.7109375" style="93" customWidth="1"/>
    <col min="4" max="4" width="10.28515625" style="95" customWidth="1"/>
    <col min="5" max="16384" width="9.140625" style="93"/>
  </cols>
  <sheetData>
    <row r="1" spans="1:3" s="93" customFormat="1" x14ac:dyDescent="0.25">
      <c r="A1" s="5" t="s">
        <v>148</v>
      </c>
      <c r="B1" s="5" t="s">
        <v>149</v>
      </c>
      <c r="C1" s="5" t="s">
        <v>150</v>
      </c>
    </row>
    <row r="2" spans="1:3" s="93" customFormat="1" x14ac:dyDescent="0.25">
      <c r="A2" s="5">
        <v>1</v>
      </c>
      <c r="B2" s="6" t="s">
        <v>60</v>
      </c>
      <c r="C2" s="6" t="s">
        <v>179</v>
      </c>
    </row>
    <row r="3" spans="1:3" s="93" customFormat="1" ht="30" x14ac:dyDescent="0.25">
      <c r="A3" s="5">
        <f t="shared" ref="A3:A19" si="0">A2+1</f>
        <v>2</v>
      </c>
      <c r="B3" s="6" t="s">
        <v>61</v>
      </c>
      <c r="C3" s="8" t="s">
        <v>53</v>
      </c>
    </row>
    <row r="4" spans="1:3" s="93" customFormat="1" x14ac:dyDescent="0.25">
      <c r="A4" s="5">
        <f t="shared" si="0"/>
        <v>3</v>
      </c>
      <c r="B4" s="6" t="s">
        <v>152</v>
      </c>
      <c r="C4" s="9" t="s">
        <v>153</v>
      </c>
    </row>
    <row r="5" spans="1:3" s="93" customFormat="1" x14ac:dyDescent="0.25">
      <c r="A5" s="5">
        <f t="shared" si="0"/>
        <v>4</v>
      </c>
      <c r="B5" s="6" t="s">
        <v>154</v>
      </c>
      <c r="C5" s="9" t="s">
        <v>155</v>
      </c>
    </row>
    <row r="6" spans="1:3" s="93" customFormat="1" x14ac:dyDescent="0.25">
      <c r="A6" s="5">
        <f t="shared" si="0"/>
        <v>5</v>
      </c>
      <c r="B6" s="6" t="s">
        <v>10</v>
      </c>
      <c r="C6" s="9">
        <v>0</v>
      </c>
    </row>
    <row r="7" spans="1:3" s="93" customFormat="1" x14ac:dyDescent="0.25">
      <c r="A7" s="5">
        <f t="shared" si="0"/>
        <v>6</v>
      </c>
      <c r="B7" s="6" t="s">
        <v>11</v>
      </c>
      <c r="C7" s="9" t="s">
        <v>27</v>
      </c>
    </row>
    <row r="8" spans="1:3" s="93" customFormat="1" x14ac:dyDescent="0.25">
      <c r="A8" s="5">
        <f t="shared" si="0"/>
        <v>7</v>
      </c>
      <c r="B8" s="6" t="s">
        <v>12</v>
      </c>
      <c r="C8" s="9" t="s">
        <v>304</v>
      </c>
    </row>
    <row r="9" spans="1:3" s="93" customFormat="1" x14ac:dyDescent="0.25">
      <c r="A9" s="5">
        <f t="shared" si="0"/>
        <v>8</v>
      </c>
      <c r="B9" s="6" t="s">
        <v>157</v>
      </c>
      <c r="C9" s="8" t="s">
        <v>158</v>
      </c>
    </row>
    <row r="10" spans="1:3" s="93" customFormat="1" x14ac:dyDescent="0.25">
      <c r="A10" s="5">
        <f t="shared" si="0"/>
        <v>9</v>
      </c>
      <c r="B10" s="6" t="s">
        <v>159</v>
      </c>
      <c r="C10" s="8" t="s">
        <v>160</v>
      </c>
    </row>
    <row r="11" spans="1:3" s="93" customFormat="1" ht="195" x14ac:dyDescent="0.25">
      <c r="A11" s="5">
        <f t="shared" si="0"/>
        <v>10</v>
      </c>
      <c r="B11" s="6" t="s">
        <v>161</v>
      </c>
      <c r="C11" s="8" t="s">
        <v>187</v>
      </c>
    </row>
    <row r="12" spans="1:3" s="93" customFormat="1" x14ac:dyDescent="0.25">
      <c r="A12" s="5">
        <f t="shared" si="0"/>
        <v>11</v>
      </c>
      <c r="B12" s="6" t="s">
        <v>163</v>
      </c>
      <c r="C12" s="8" t="s">
        <v>75</v>
      </c>
    </row>
    <row r="13" spans="1:3" s="93" customFormat="1" x14ac:dyDescent="0.25">
      <c r="A13" s="5">
        <f t="shared" si="0"/>
        <v>12</v>
      </c>
      <c r="B13" s="6" t="s">
        <v>165</v>
      </c>
      <c r="C13" s="9" t="s">
        <v>188</v>
      </c>
    </row>
    <row r="14" spans="1:3" s="93" customFormat="1" x14ac:dyDescent="0.25">
      <c r="A14" s="5">
        <f t="shared" si="0"/>
        <v>13</v>
      </c>
      <c r="B14" s="6" t="s">
        <v>167</v>
      </c>
      <c r="C14" s="8" t="s">
        <v>184</v>
      </c>
    </row>
    <row r="15" spans="1:3" s="93" customFormat="1" ht="30" x14ac:dyDescent="0.25">
      <c r="A15" s="5">
        <f t="shared" si="0"/>
        <v>14</v>
      </c>
      <c r="B15" s="6" t="s">
        <v>169</v>
      </c>
      <c r="C15" s="8" t="s">
        <v>170</v>
      </c>
    </row>
    <row r="16" spans="1:3" s="93" customFormat="1" x14ac:dyDescent="0.25">
      <c r="A16" s="5">
        <f t="shared" si="0"/>
        <v>15</v>
      </c>
      <c r="B16" s="6" t="s">
        <v>171</v>
      </c>
      <c r="C16" s="8" t="s">
        <v>172</v>
      </c>
    </row>
    <row r="17" spans="1:17" x14ac:dyDescent="0.25">
      <c r="A17" s="5">
        <f t="shared" si="0"/>
        <v>16</v>
      </c>
      <c r="B17" s="6" t="s">
        <v>173</v>
      </c>
      <c r="C17" s="9" t="s">
        <v>189</v>
      </c>
    </row>
    <row r="18" spans="1:17" ht="30" x14ac:dyDescent="0.25">
      <c r="A18" s="5">
        <f t="shared" si="0"/>
        <v>17</v>
      </c>
      <c r="B18" s="6" t="s">
        <v>175</v>
      </c>
      <c r="C18" s="8" t="s">
        <v>190</v>
      </c>
      <c r="M18" s="97"/>
      <c r="N18" s="97"/>
      <c r="O18" s="97"/>
      <c r="P18" s="97"/>
      <c r="Q18" s="97"/>
    </row>
    <row r="19" spans="1:17" x14ac:dyDescent="0.25">
      <c r="A19" s="6">
        <f t="shared" si="0"/>
        <v>18</v>
      </c>
      <c r="B19" s="6" t="s">
        <v>177</v>
      </c>
      <c r="C19" s="9"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C11" sqref="C11"/>
    </sheetView>
  </sheetViews>
  <sheetFormatPr defaultColWidth="9.140625" defaultRowHeight="15" x14ac:dyDescent="0.25"/>
  <cols>
    <col min="2" max="2" width="36.42578125" customWidth="1"/>
    <col min="3" max="3" width="122.85546875" customWidth="1"/>
  </cols>
  <sheetData>
    <row r="1" spans="1:3" x14ac:dyDescent="0.25">
      <c r="A1" s="5" t="s">
        <v>148</v>
      </c>
      <c r="B1" s="5" t="s">
        <v>149</v>
      </c>
      <c r="C1" s="5" t="s">
        <v>150</v>
      </c>
    </row>
    <row r="2" spans="1:3" x14ac:dyDescent="0.25">
      <c r="A2" s="5">
        <v>1</v>
      </c>
      <c r="B2" s="6" t="s">
        <v>60</v>
      </c>
      <c r="C2" s="6" t="s">
        <v>179</v>
      </c>
    </row>
    <row r="3" spans="1:3" x14ac:dyDescent="0.25">
      <c r="A3" s="5">
        <f>A2+1</f>
        <v>2</v>
      </c>
      <c r="B3" s="6" t="s">
        <v>61</v>
      </c>
      <c r="C3" s="9" t="s">
        <v>191</v>
      </c>
    </row>
    <row r="4" spans="1:3" x14ac:dyDescent="0.25">
      <c r="A4" s="5">
        <f t="shared" ref="A4:A19" si="0">A3+1</f>
        <v>3</v>
      </c>
      <c r="B4" s="6" t="s">
        <v>152</v>
      </c>
      <c r="C4" s="6" t="s">
        <v>47</v>
      </c>
    </row>
    <row r="5" spans="1:3" x14ac:dyDescent="0.25">
      <c r="A5" s="5">
        <f t="shared" si="0"/>
        <v>4</v>
      </c>
      <c r="B5" s="6" t="s">
        <v>154</v>
      </c>
      <c r="C5" s="6" t="s">
        <v>192</v>
      </c>
    </row>
    <row r="6" spans="1:3" x14ac:dyDescent="0.25">
      <c r="A6" s="5">
        <f t="shared" si="0"/>
        <v>5</v>
      </c>
      <c r="B6" s="6" t="s">
        <v>10</v>
      </c>
      <c r="C6" s="6">
        <v>0</v>
      </c>
    </row>
    <row r="7" spans="1:3" x14ac:dyDescent="0.25">
      <c r="A7" s="5">
        <f t="shared" si="0"/>
        <v>6</v>
      </c>
      <c r="B7" s="6" t="s">
        <v>11</v>
      </c>
      <c r="C7" s="6" t="s">
        <v>193</v>
      </c>
    </row>
    <row r="8" spans="1:3" x14ac:dyDescent="0.25">
      <c r="A8" s="5">
        <f t="shared" si="0"/>
        <v>7</v>
      </c>
      <c r="B8" s="6" t="s">
        <v>12</v>
      </c>
      <c r="C8" s="6" t="s">
        <v>305</v>
      </c>
    </row>
    <row r="9" spans="1:3" x14ac:dyDescent="0.25">
      <c r="A9" s="5">
        <f t="shared" si="0"/>
        <v>8</v>
      </c>
      <c r="B9" s="6" t="s">
        <v>157</v>
      </c>
      <c r="C9" s="6" t="s">
        <v>158</v>
      </c>
    </row>
    <row r="10" spans="1:3" x14ac:dyDescent="0.25">
      <c r="A10" s="5">
        <f t="shared" si="0"/>
        <v>9</v>
      </c>
      <c r="B10" s="6" t="s">
        <v>159</v>
      </c>
      <c r="C10" s="6" t="s">
        <v>160</v>
      </c>
    </row>
    <row r="11" spans="1:3" ht="90" x14ac:dyDescent="0.25">
      <c r="A11" s="5">
        <f t="shared" si="0"/>
        <v>10</v>
      </c>
      <c r="B11" s="6" t="s">
        <v>161</v>
      </c>
      <c r="C11" s="7" t="s">
        <v>194</v>
      </c>
    </row>
    <row r="12" spans="1:3" x14ac:dyDescent="0.25">
      <c r="A12" s="5">
        <f t="shared" si="0"/>
        <v>11</v>
      </c>
      <c r="B12" s="6" t="s">
        <v>163</v>
      </c>
      <c r="C12" s="7" t="s">
        <v>75</v>
      </c>
    </row>
    <row r="13" spans="1:3" ht="30" x14ac:dyDescent="0.25">
      <c r="A13" s="5">
        <f t="shared" si="0"/>
        <v>12</v>
      </c>
      <c r="B13" s="6" t="s">
        <v>165</v>
      </c>
      <c r="C13" s="8" t="s">
        <v>195</v>
      </c>
    </row>
    <row r="14" spans="1:3" x14ac:dyDescent="0.25">
      <c r="A14" s="5">
        <f t="shared" si="0"/>
        <v>13</v>
      </c>
      <c r="B14" s="6" t="s">
        <v>167</v>
      </c>
      <c r="C14" s="7" t="s">
        <v>196</v>
      </c>
    </row>
    <row r="15" spans="1:3" ht="30" x14ac:dyDescent="0.25">
      <c r="A15" s="5">
        <f t="shared" si="0"/>
        <v>14</v>
      </c>
      <c r="B15" s="6" t="s">
        <v>169</v>
      </c>
      <c r="C15" s="8" t="s">
        <v>170</v>
      </c>
    </row>
    <row r="16" spans="1:3" x14ac:dyDescent="0.25">
      <c r="A16" s="5">
        <f t="shared" si="0"/>
        <v>15</v>
      </c>
      <c r="B16" s="6" t="s">
        <v>171</v>
      </c>
      <c r="C16" s="8" t="s">
        <v>172</v>
      </c>
    </row>
    <row r="17" spans="1:3" x14ac:dyDescent="0.25">
      <c r="A17" s="5">
        <f t="shared" si="0"/>
        <v>16</v>
      </c>
      <c r="B17" s="6" t="s">
        <v>173</v>
      </c>
      <c r="C17" s="9" t="s">
        <v>189</v>
      </c>
    </row>
    <row r="18" spans="1:3" x14ac:dyDescent="0.25">
      <c r="A18" s="5">
        <f>A17+1</f>
        <v>17</v>
      </c>
      <c r="B18" s="6" t="s">
        <v>175</v>
      </c>
      <c r="C18" s="7" t="s">
        <v>197</v>
      </c>
    </row>
    <row r="19" spans="1:3" x14ac:dyDescent="0.25">
      <c r="A19" s="6">
        <f t="shared" si="0"/>
        <v>18</v>
      </c>
      <c r="B19" s="6" t="s">
        <v>177</v>
      </c>
      <c r="C19" s="9"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9"/>
  <sheetViews>
    <sheetView topLeftCell="A7" zoomScale="75" zoomScaleNormal="75" workbookViewId="0">
      <selection activeCell="C14" sqref="C14"/>
    </sheetView>
  </sheetViews>
  <sheetFormatPr defaultColWidth="9.140625" defaultRowHeight="15" x14ac:dyDescent="0.25"/>
  <cols>
    <col min="2" max="2" width="33" customWidth="1"/>
    <col min="3" max="3" width="125.85546875" customWidth="1"/>
  </cols>
  <sheetData>
    <row r="1" spans="1:3" x14ac:dyDescent="0.25">
      <c r="A1" s="96" t="s">
        <v>148</v>
      </c>
      <c r="B1" s="96" t="s">
        <v>149</v>
      </c>
      <c r="C1" s="96" t="s">
        <v>150</v>
      </c>
    </row>
    <row r="2" spans="1:3" x14ac:dyDescent="0.25">
      <c r="A2" s="5">
        <v>1</v>
      </c>
      <c r="B2" s="6" t="s">
        <v>60</v>
      </c>
      <c r="C2" s="9" t="s">
        <v>179</v>
      </c>
    </row>
    <row r="3" spans="1:3" ht="30" x14ac:dyDescent="0.25">
      <c r="A3" s="5">
        <f>A2+1</f>
        <v>2</v>
      </c>
      <c r="B3" s="6" t="s">
        <v>61</v>
      </c>
      <c r="C3" s="8" t="s">
        <v>306</v>
      </c>
    </row>
    <row r="4" spans="1:3" x14ac:dyDescent="0.25">
      <c r="A4" s="5">
        <f t="shared" ref="A4:A19" si="0">A3+1</f>
        <v>3</v>
      </c>
      <c r="B4" s="6" t="s">
        <v>152</v>
      </c>
      <c r="C4" s="9" t="s">
        <v>198</v>
      </c>
    </row>
    <row r="5" spans="1:3" x14ac:dyDescent="0.25">
      <c r="A5" s="5">
        <f t="shared" si="0"/>
        <v>4</v>
      </c>
      <c r="B5" s="6" t="s">
        <v>154</v>
      </c>
      <c r="C5" s="9" t="s">
        <v>181</v>
      </c>
    </row>
    <row r="6" spans="1:3" x14ac:dyDescent="0.25">
      <c r="A6" s="5">
        <f t="shared" si="0"/>
        <v>5</v>
      </c>
      <c r="B6" s="6" t="s">
        <v>10</v>
      </c>
      <c r="C6" s="9">
        <v>0</v>
      </c>
    </row>
    <row r="7" spans="1:3" x14ac:dyDescent="0.25">
      <c r="A7" s="5">
        <f t="shared" si="0"/>
        <v>6</v>
      </c>
      <c r="B7" s="6" t="s">
        <v>11</v>
      </c>
      <c r="C7" s="9" t="s">
        <v>307</v>
      </c>
    </row>
    <row r="8" spans="1:3" x14ac:dyDescent="0.25">
      <c r="A8" s="5">
        <f t="shared" si="0"/>
        <v>7</v>
      </c>
      <c r="B8" s="6" t="s">
        <v>12</v>
      </c>
      <c r="C8" s="9" t="s">
        <v>308</v>
      </c>
    </row>
    <row r="9" spans="1:3" x14ac:dyDescent="0.25">
      <c r="A9" s="5">
        <f t="shared" si="0"/>
        <v>8</v>
      </c>
      <c r="B9" s="6" t="s">
        <v>157</v>
      </c>
      <c r="C9" s="9" t="s">
        <v>158</v>
      </c>
    </row>
    <row r="10" spans="1:3" x14ac:dyDescent="0.25">
      <c r="A10" s="5">
        <f t="shared" si="0"/>
        <v>9</v>
      </c>
      <c r="B10" s="6" t="s">
        <v>159</v>
      </c>
      <c r="C10" s="9" t="s">
        <v>160</v>
      </c>
    </row>
    <row r="11" spans="1:3" ht="150" x14ac:dyDescent="0.25">
      <c r="A11" s="5">
        <f t="shared" si="0"/>
        <v>10</v>
      </c>
      <c r="B11" s="6" t="s">
        <v>161</v>
      </c>
      <c r="C11" s="8" t="s">
        <v>199</v>
      </c>
    </row>
    <row r="12" spans="1:3" x14ac:dyDescent="0.25">
      <c r="A12" s="5">
        <f t="shared" si="0"/>
        <v>11</v>
      </c>
      <c r="B12" s="6" t="s">
        <v>163</v>
      </c>
      <c r="C12" s="8" t="s">
        <v>75</v>
      </c>
    </row>
    <row r="13" spans="1:3" ht="45" x14ac:dyDescent="0.25">
      <c r="A13" s="5">
        <f t="shared" si="0"/>
        <v>12</v>
      </c>
      <c r="B13" s="6" t="s">
        <v>165</v>
      </c>
      <c r="C13" s="8" t="s">
        <v>200</v>
      </c>
    </row>
    <row r="14" spans="1:3" ht="60" x14ac:dyDescent="0.25">
      <c r="A14" s="5">
        <f t="shared" si="0"/>
        <v>13</v>
      </c>
      <c r="B14" s="6" t="s">
        <v>167</v>
      </c>
      <c r="C14" s="8" t="s">
        <v>201</v>
      </c>
    </row>
    <row r="15" spans="1:3" ht="30" x14ac:dyDescent="0.25">
      <c r="A15" s="5">
        <f t="shared" si="0"/>
        <v>14</v>
      </c>
      <c r="B15" s="6" t="s">
        <v>169</v>
      </c>
      <c r="C15" s="8" t="s">
        <v>170</v>
      </c>
    </row>
    <row r="16" spans="1:3" x14ac:dyDescent="0.25">
      <c r="A16" s="5">
        <f t="shared" si="0"/>
        <v>15</v>
      </c>
      <c r="B16" s="6" t="s">
        <v>171</v>
      </c>
      <c r="C16" s="8" t="s">
        <v>172</v>
      </c>
    </row>
    <row r="17" spans="1:3" x14ac:dyDescent="0.25">
      <c r="A17" s="5">
        <f t="shared" si="0"/>
        <v>16</v>
      </c>
      <c r="B17" s="6" t="s">
        <v>173</v>
      </c>
      <c r="C17" s="9" t="s">
        <v>189</v>
      </c>
    </row>
    <row r="18" spans="1:3" x14ac:dyDescent="0.25">
      <c r="A18" s="5">
        <f>A17+1</f>
        <v>17</v>
      </c>
      <c r="B18" s="6" t="s">
        <v>175</v>
      </c>
      <c r="C18" s="8" t="s">
        <v>197</v>
      </c>
    </row>
    <row r="19" spans="1:3" x14ac:dyDescent="0.25">
      <c r="A19" s="5">
        <f t="shared" si="0"/>
        <v>18</v>
      </c>
      <c r="B19" s="6" t="s">
        <v>177</v>
      </c>
      <c r="C19" s="9"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4" zoomScale="75" zoomScaleNormal="75" workbookViewId="0">
      <selection activeCell="C11" sqref="C11"/>
    </sheetView>
  </sheetViews>
  <sheetFormatPr defaultColWidth="9.140625" defaultRowHeight="15" x14ac:dyDescent="0.25"/>
  <cols>
    <col min="2" max="2" width="32.5703125" customWidth="1"/>
    <col min="3" max="3" width="126.140625" customWidth="1"/>
  </cols>
  <sheetData>
    <row r="1" spans="1:3" x14ac:dyDescent="0.25">
      <c r="A1" s="5" t="s">
        <v>148</v>
      </c>
      <c r="B1" s="5" t="s">
        <v>149</v>
      </c>
      <c r="C1" s="5" t="s">
        <v>150</v>
      </c>
    </row>
    <row r="2" spans="1:3" x14ac:dyDescent="0.25">
      <c r="A2" s="5">
        <v>1</v>
      </c>
      <c r="B2" s="6" t="s">
        <v>60</v>
      </c>
      <c r="C2" s="6" t="s">
        <v>179</v>
      </c>
    </row>
    <row r="3" spans="1:3" x14ac:dyDescent="0.25">
      <c r="A3" s="5">
        <f>A2+1</f>
        <v>2</v>
      </c>
      <c r="B3" s="6" t="s">
        <v>61</v>
      </c>
      <c r="C3" s="9" t="s">
        <v>202</v>
      </c>
    </row>
    <row r="4" spans="1:3" x14ac:dyDescent="0.25">
      <c r="A4" s="5">
        <f t="shared" ref="A4:A19" si="0">A3+1</f>
        <v>3</v>
      </c>
      <c r="B4" s="6" t="s">
        <v>152</v>
      </c>
      <c r="C4" s="9" t="s">
        <v>198</v>
      </c>
    </row>
    <row r="5" spans="1:3" x14ac:dyDescent="0.25">
      <c r="A5" s="5">
        <f t="shared" si="0"/>
        <v>4</v>
      </c>
      <c r="B5" s="6" t="s">
        <v>154</v>
      </c>
      <c r="C5" s="6" t="s">
        <v>181</v>
      </c>
    </row>
    <row r="6" spans="1:3" x14ac:dyDescent="0.25">
      <c r="A6" s="5">
        <f t="shared" si="0"/>
        <v>5</v>
      </c>
      <c r="B6" s="6" t="s">
        <v>10</v>
      </c>
      <c r="C6" s="6">
        <v>0</v>
      </c>
    </row>
    <row r="7" spans="1:3" x14ac:dyDescent="0.25">
      <c r="A7" s="5">
        <f t="shared" si="0"/>
        <v>6</v>
      </c>
      <c r="B7" s="6" t="s">
        <v>11</v>
      </c>
      <c r="C7" s="6" t="s">
        <v>309</v>
      </c>
    </row>
    <row r="8" spans="1:3" x14ac:dyDescent="0.25">
      <c r="A8" s="5">
        <f t="shared" si="0"/>
        <v>7</v>
      </c>
      <c r="B8" s="6" t="s">
        <v>12</v>
      </c>
      <c r="C8" s="6" t="s">
        <v>310</v>
      </c>
    </row>
    <row r="9" spans="1:3" x14ac:dyDescent="0.25">
      <c r="A9" s="5">
        <f t="shared" si="0"/>
        <v>8</v>
      </c>
      <c r="B9" s="6" t="s">
        <v>157</v>
      </c>
      <c r="C9" s="6" t="s">
        <v>158</v>
      </c>
    </row>
    <row r="10" spans="1:3" x14ac:dyDescent="0.25">
      <c r="A10" s="5">
        <f t="shared" si="0"/>
        <v>9</v>
      </c>
      <c r="B10" s="6" t="s">
        <v>159</v>
      </c>
      <c r="C10" s="7" t="s">
        <v>160</v>
      </c>
    </row>
    <row r="11" spans="1:3" ht="195" x14ac:dyDescent="0.25">
      <c r="A11" s="5">
        <f t="shared" si="0"/>
        <v>10</v>
      </c>
      <c r="B11" s="6" t="s">
        <v>161</v>
      </c>
      <c r="C11" s="7" t="s">
        <v>203</v>
      </c>
    </row>
    <row r="12" spans="1:3" x14ac:dyDescent="0.25">
      <c r="A12" s="5">
        <f t="shared" si="0"/>
        <v>11</v>
      </c>
      <c r="B12" s="6" t="s">
        <v>163</v>
      </c>
      <c r="C12" s="7" t="s">
        <v>75</v>
      </c>
    </row>
    <row r="13" spans="1:3" ht="30" x14ac:dyDescent="0.25">
      <c r="A13" s="5">
        <f t="shared" si="0"/>
        <v>12</v>
      </c>
      <c r="B13" s="6" t="s">
        <v>165</v>
      </c>
      <c r="C13" s="8" t="s">
        <v>204</v>
      </c>
    </row>
    <row r="14" spans="1:3" ht="45" x14ac:dyDescent="0.25">
      <c r="A14" s="5">
        <f t="shared" si="0"/>
        <v>13</v>
      </c>
      <c r="B14" s="6" t="s">
        <v>167</v>
      </c>
      <c r="C14" s="7" t="s">
        <v>205</v>
      </c>
    </row>
    <row r="15" spans="1:3" ht="30" x14ac:dyDescent="0.25">
      <c r="A15" s="5">
        <f t="shared" si="0"/>
        <v>14</v>
      </c>
      <c r="B15" s="6" t="s">
        <v>169</v>
      </c>
      <c r="C15" s="8" t="s">
        <v>170</v>
      </c>
    </row>
    <row r="16" spans="1:3" x14ac:dyDescent="0.25">
      <c r="A16" s="5">
        <f t="shared" si="0"/>
        <v>15</v>
      </c>
      <c r="B16" s="6" t="s">
        <v>171</v>
      </c>
      <c r="C16" s="8" t="s">
        <v>172</v>
      </c>
    </row>
    <row r="17" spans="1:3" x14ac:dyDescent="0.25">
      <c r="A17" s="5">
        <f t="shared" si="0"/>
        <v>16</v>
      </c>
      <c r="B17" s="6" t="s">
        <v>173</v>
      </c>
      <c r="C17" s="9" t="s">
        <v>189</v>
      </c>
    </row>
    <row r="18" spans="1:3" x14ac:dyDescent="0.25">
      <c r="A18" s="5">
        <f>A17+1</f>
        <v>17</v>
      </c>
      <c r="B18" s="6" t="s">
        <v>175</v>
      </c>
      <c r="C18" s="7" t="s">
        <v>197</v>
      </c>
    </row>
    <row r="19" spans="1:3" x14ac:dyDescent="0.25">
      <c r="A19" s="5">
        <f t="shared" si="0"/>
        <v>18</v>
      </c>
      <c r="B19" s="6" t="s">
        <v>177</v>
      </c>
      <c r="C19" s="9" t="s">
        <v>178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1" sqref="C11"/>
    </sheetView>
  </sheetViews>
  <sheetFormatPr defaultColWidth="9.140625" defaultRowHeight="15" x14ac:dyDescent="0.25"/>
  <cols>
    <col min="2" max="2" width="32.5703125" customWidth="1"/>
    <col min="3" max="3" width="126.140625" customWidth="1"/>
  </cols>
  <sheetData>
    <row r="1" spans="1:3" x14ac:dyDescent="0.25">
      <c r="A1" s="5" t="s">
        <v>148</v>
      </c>
      <c r="B1" s="5" t="s">
        <v>149</v>
      </c>
      <c r="C1" s="5" t="s">
        <v>150</v>
      </c>
    </row>
    <row r="2" spans="1:3" x14ac:dyDescent="0.25">
      <c r="A2" s="5">
        <v>1</v>
      </c>
      <c r="B2" s="6" t="s">
        <v>60</v>
      </c>
      <c r="C2" s="6" t="s">
        <v>151</v>
      </c>
    </row>
    <row r="3" spans="1:3" ht="26.25" x14ac:dyDescent="0.25">
      <c r="A3" s="5">
        <f>A2+1</f>
        <v>2</v>
      </c>
      <c r="B3" s="6" t="s">
        <v>61</v>
      </c>
      <c r="C3" s="59" t="s">
        <v>206</v>
      </c>
    </row>
    <row r="4" spans="1:3" x14ac:dyDescent="0.25">
      <c r="A4" s="5">
        <f t="shared" ref="A4:A19" si="0">A3+1</f>
        <v>3</v>
      </c>
      <c r="B4" s="6" t="s">
        <v>152</v>
      </c>
      <c r="C4" s="9" t="s">
        <v>47</v>
      </c>
    </row>
    <row r="5" spans="1:3" x14ac:dyDescent="0.25">
      <c r="A5" s="5">
        <f t="shared" si="0"/>
        <v>4</v>
      </c>
      <c r="B5" s="6" t="s">
        <v>154</v>
      </c>
      <c r="C5" s="9" t="s">
        <v>155</v>
      </c>
    </row>
    <row r="6" spans="1:3" x14ac:dyDescent="0.25">
      <c r="A6" s="5">
        <f t="shared" si="0"/>
        <v>5</v>
      </c>
      <c r="B6" s="6" t="s">
        <v>10</v>
      </c>
      <c r="C6" s="9">
        <v>0</v>
      </c>
    </row>
    <row r="7" spans="1:3" x14ac:dyDescent="0.25">
      <c r="A7" s="5">
        <f t="shared" si="0"/>
        <v>6</v>
      </c>
      <c r="B7" s="6" t="s">
        <v>11</v>
      </c>
      <c r="C7" s="9" t="s">
        <v>27</v>
      </c>
    </row>
    <row r="8" spans="1:3" x14ac:dyDescent="0.25">
      <c r="A8" s="5">
        <f t="shared" si="0"/>
        <v>7</v>
      </c>
      <c r="B8" s="6" t="s">
        <v>12</v>
      </c>
      <c r="C8" s="9" t="s">
        <v>207</v>
      </c>
    </row>
    <row r="9" spans="1:3" x14ac:dyDescent="0.25">
      <c r="A9" s="5">
        <f t="shared" si="0"/>
        <v>8</v>
      </c>
      <c r="B9" s="6" t="s">
        <v>157</v>
      </c>
      <c r="C9" s="9" t="s">
        <v>158</v>
      </c>
    </row>
    <row r="10" spans="1:3" x14ac:dyDescent="0.25">
      <c r="A10" s="5">
        <f t="shared" si="0"/>
        <v>9</v>
      </c>
      <c r="B10" s="6" t="s">
        <v>159</v>
      </c>
      <c r="C10" s="7" t="s">
        <v>160</v>
      </c>
    </row>
    <row r="11" spans="1:3" ht="167.25" customHeight="1" x14ac:dyDescent="0.25">
      <c r="A11" s="5">
        <f t="shared" si="0"/>
        <v>10</v>
      </c>
      <c r="B11" s="6" t="s">
        <v>161</v>
      </c>
      <c r="C11" s="7" t="s">
        <v>208</v>
      </c>
    </row>
    <row r="12" spans="1:3" x14ac:dyDescent="0.25">
      <c r="A12" s="5">
        <f t="shared" si="0"/>
        <v>11</v>
      </c>
      <c r="B12" s="6" t="s">
        <v>163</v>
      </c>
      <c r="C12" s="7" t="s">
        <v>75</v>
      </c>
    </row>
    <row r="13" spans="1:3" ht="75" x14ac:dyDescent="0.25">
      <c r="A13" s="5">
        <f t="shared" si="0"/>
        <v>12</v>
      </c>
      <c r="B13" s="6" t="s">
        <v>165</v>
      </c>
      <c r="C13" s="8" t="s">
        <v>209</v>
      </c>
    </row>
    <row r="14" spans="1:3" ht="30" x14ac:dyDescent="0.25">
      <c r="A14" s="5">
        <f t="shared" si="0"/>
        <v>13</v>
      </c>
      <c r="B14" s="6" t="s">
        <v>167</v>
      </c>
      <c r="C14" s="7" t="s">
        <v>210</v>
      </c>
    </row>
    <row r="15" spans="1:3" ht="30" x14ac:dyDescent="0.25">
      <c r="A15" s="5">
        <f t="shared" si="0"/>
        <v>14</v>
      </c>
      <c r="B15" s="6" t="s">
        <v>169</v>
      </c>
      <c r="C15" s="8" t="s">
        <v>170</v>
      </c>
    </row>
    <row r="16" spans="1:3" x14ac:dyDescent="0.25">
      <c r="A16" s="5">
        <f t="shared" si="0"/>
        <v>15</v>
      </c>
      <c r="B16" s="6" t="s">
        <v>171</v>
      </c>
      <c r="C16" s="8" t="s">
        <v>172</v>
      </c>
    </row>
    <row r="17" spans="1:4" x14ac:dyDescent="0.25">
      <c r="A17" s="5">
        <f t="shared" si="0"/>
        <v>16</v>
      </c>
      <c r="B17" s="6" t="s">
        <v>173</v>
      </c>
      <c r="C17" s="9" t="s">
        <v>189</v>
      </c>
    </row>
    <row r="18" spans="1:4" x14ac:dyDescent="0.25">
      <c r="A18" s="5">
        <f>A17+1</f>
        <v>17</v>
      </c>
      <c r="B18" s="6" t="s">
        <v>175</v>
      </c>
      <c r="C18" s="8" t="s">
        <v>211</v>
      </c>
      <c r="D18" s="58"/>
    </row>
    <row r="19" spans="1:4" x14ac:dyDescent="0.25">
      <c r="A19" s="5">
        <f t="shared" si="0"/>
        <v>18</v>
      </c>
      <c r="B19" s="6" t="s">
        <v>177</v>
      </c>
      <c r="C19" s="9" t="s">
        <v>178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aa4828b-4003-4df1-96f0-322d29121a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13D44600D1B9CD4CA31AF45CB963A80A" ma:contentTypeVersion="12" ma:contentTypeDescription="Kurkite naują dokumentą." ma:contentTypeScope="" ma:versionID="ffed523f9e2fb6ea9447d4435ea2306d">
  <xsd:schema xmlns:xsd="http://www.w3.org/2001/XMLSchema" xmlns:xs="http://www.w3.org/2001/XMLSchema" xmlns:p="http://schemas.microsoft.com/office/2006/metadata/properties" xmlns:ns3="2aa4828b-4003-4df1-96f0-322d29121a7f" targetNamespace="http://schemas.microsoft.com/office/2006/metadata/properties" ma:root="true" ma:fieldsID="b7949516e3ab338ecfd3f19f7d6a53f7" ns3:_="">
    <xsd:import namespace="2aa4828b-4003-4df1-96f0-322d29121a7f"/>
    <xsd:element name="properties">
      <xsd:complexType>
        <xsd:sequence>
          <xsd:element name="documentManagement">
            <xsd:complexType>
              <xsd:all>
                <xsd:element ref="ns3:MediaServiceMetadata" minOccurs="0"/>
                <xsd:element ref="ns3:MediaServiceFastMetadata" minOccurs="0"/>
                <xsd:element ref="ns3:MediaLengthInSecond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4828b-4003-4df1-96f0-322d29121a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FBC82-546D-4C60-AC19-ABEC1D50E3CF}">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2aa4828b-4003-4df1-96f0-322d29121a7f"/>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DD8E416-80AD-4B7A-9A63-4DA9B3E38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4828b-4003-4df1-96f0-322d29121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98004C-92B5-4100-A885-3E369E17E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 1.1 (1)</vt:lpstr>
      <vt:lpstr>1.1 (2)</vt:lpstr>
      <vt:lpstr>Fiches S R (1.1.2)</vt:lpstr>
      <vt:lpstr>Fiches Special output (1.1.3)</vt:lpstr>
      <vt:lpstr>Fiches Special result (1.1.3)</vt:lpstr>
      <vt:lpstr>Fiches Special output (1.1.4) </vt:lpstr>
      <vt:lpstr>Fiches Special output (1.1.4)</vt:lpstr>
      <vt:lpstr>Fiches Special output (1.1.4.)</vt:lpstr>
      <vt:lpstr>Fiches Special result (1.1.9)</vt:lpstr>
      <vt:lpstr>Fiches Special result (1.1.10)</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2023-04-17T08:23:25Z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0x01010013D44600D1B9CD4CA31AF45CB963A80A</vt:lpwstr>
  </property>
</Properties>
</file>